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showInkAnnotation="0" codeName="DieseArbeitsmappe"/>
  <mc:AlternateContent xmlns:mc="http://schemas.openxmlformats.org/markup-compatibility/2006">
    <mc:Choice Requires="x15">
      <x15ac:absPath xmlns:x15ac="http://schemas.microsoft.com/office/spreadsheetml/2010/11/ac" url="V:\9-Fachinformationen\908-Fachinformation_Pflanzenbau\05-Fachinformation_Pflanzenbau\03-Agrarumweltmassnahmen\04 LLH\61 Tools\PraemienR\"/>
    </mc:Choice>
  </mc:AlternateContent>
  <xr:revisionPtr revIDLastSave="0" documentId="13_ncr:1_{A9BA10EA-0F02-4113-BE45-FA17B7779D7F}" xr6:coauthVersionLast="47" xr6:coauthVersionMax="47" xr10:uidLastSave="{00000000-0000-0000-0000-000000000000}"/>
  <bookViews>
    <workbookView xWindow="28680" yWindow="-120" windowWidth="29040" windowHeight="15720" tabRatio="674" xr2:uid="{00000000-000D-0000-FFFF-FFFF00000000}"/>
  </bookViews>
  <sheets>
    <sheet name="Startseite" sheetId="6" r:id="rId1"/>
    <sheet name="Kurzanleitung" sheetId="24" r:id="rId2"/>
    <sheet name="Basisprämie" sheetId="12" r:id="rId3"/>
    <sheet name="Öko-Regelungen" sheetId="19" r:id="rId4"/>
    <sheet name="HALM 2" sheetId="20" r:id="rId5"/>
    <sheet name="Übersicht" sheetId="16" r:id="rId6"/>
    <sheet name="SÜ" sheetId="22" state="hidden" r:id="rId7"/>
    <sheet name="DG_SUE" sheetId="23" state="veryHidden" r:id="rId8"/>
    <sheet name="Datengrundlage" sheetId="17" state="veryHidden" r:id="rId9"/>
  </sheets>
  <definedNames>
    <definedName name="_xlnm.Print_Area" localSheetId="2">Basisprämie!$A$1:$O$60</definedName>
    <definedName name="_xlnm.Print_Area" localSheetId="4">'HALM 2'!$A$2:$N$346</definedName>
    <definedName name="_xlnm.Print_Area" localSheetId="1">Kurzanleitung!$B$1:$F$36</definedName>
    <definedName name="_xlnm.Print_Area" localSheetId="3">'Öko-Regelungen'!$A$1:$N$74</definedName>
    <definedName name="_xlnm.Print_Area" localSheetId="0">Startseite!$B$1:$F$41</definedName>
    <definedName name="_xlnm.Print_Area" localSheetId="6">SÜ!$A$1:$R$75</definedName>
    <definedName name="_xlnm.Print_Area" localSheetId="5">Übersicht!$A$2:$G$57</definedName>
    <definedName name="_xlnm.Print_Titles" localSheetId="4">'HALM 2'!$5:$15</definedName>
    <definedName name="GAPAusnV">Datengrundlage!$AS$13:$AU$13</definedName>
    <definedName name="gloez8">Datengrundlage!$AS$5:$AU$5</definedName>
    <definedName name="Jahr">Datengrundlage!$AF$2:$AI$2</definedName>
    <definedName name="jundlandw">Datengrundlage!$AS$3:$AU$3</definedName>
    <definedName name="milch">Datengrundlage!$AS$4:$AU$4</definedName>
    <definedName name="RGV">Datengrundlage!$AS$11:$BD$11</definedName>
    <definedName name="TN_OER2u4">Datengrundlage!$AS$9:$AT$9</definedName>
    <definedName name="umstellung">Datengrundlage!$AS$6:$AU$6</definedName>
    <definedName name="VKlegus">Datengrundlage!$AS$7:$AU$7</definedName>
    <definedName name="wirtschaftsform">Datengrundlage!$AS$2:$AU$2</definedName>
    <definedName name="ZWF_kulisse">Datengrundlage!$AS$8:$AV$8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I228" i="20" l="1"/>
  <c r="I227" i="20"/>
  <c r="I223" i="20"/>
  <c r="I222" i="20"/>
  <c r="I218" i="20"/>
  <c r="I217" i="20"/>
  <c r="I215" i="20"/>
  <c r="I214" i="20"/>
  <c r="I212" i="20"/>
  <c r="I211" i="20"/>
  <c r="D57" i="12" l="1"/>
  <c r="M10" i="20"/>
  <c r="H66" i="20" s="1"/>
  <c r="H36" i="20"/>
  <c r="K10" i="19" l="1"/>
  <c r="F45" i="19" s="1"/>
  <c r="M28" i="12"/>
  <c r="M26" i="12"/>
  <c r="M24" i="12"/>
  <c r="M22" i="12"/>
  <c r="M20" i="12"/>
  <c r="M18" i="12"/>
  <c r="M16" i="12"/>
  <c r="M14" i="12"/>
  <c r="E25" i="19"/>
  <c r="E46" i="19" l="1"/>
  <c r="I283" i="20" l="1"/>
  <c r="E57" i="12"/>
  <c r="H277" i="20" l="1"/>
  <c r="H279" i="20"/>
  <c r="I277" i="20"/>
  <c r="I275" i="20"/>
  <c r="H275" i="20"/>
  <c r="H73" i="20"/>
  <c r="J74" i="20" s="1"/>
  <c r="J174" i="20"/>
  <c r="J175" i="20"/>
  <c r="J176" i="20"/>
  <c r="J173" i="20"/>
  <c r="F280" i="20" l="1"/>
  <c r="H281" i="20"/>
  <c r="J254" i="20"/>
  <c r="J263" i="20"/>
  <c r="J259" i="20"/>
  <c r="B8" i="24"/>
  <c r="F83" i="20" l="1"/>
  <c r="I79" i="20" s="1"/>
  <c r="I292" i="20"/>
  <c r="H92" i="20"/>
  <c r="H90" i="20"/>
  <c r="H88" i="20"/>
  <c r="H86" i="20"/>
  <c r="F47" i="16" l="1"/>
  <c r="J83" i="20"/>
  <c r="J276" i="20"/>
  <c r="J280" i="20"/>
  <c r="I80" i="20"/>
  <c r="H68" i="20"/>
  <c r="F23" i="20"/>
  <c r="G48" i="16" l="1"/>
  <c r="I296" i="20"/>
  <c r="I294" i="20"/>
  <c r="F49" i="16" l="1"/>
  <c r="H107" i="20"/>
  <c r="F55" i="12" l="1"/>
  <c r="M37" i="12" l="1"/>
  <c r="G17" i="16" s="1"/>
  <c r="K30" i="12" l="1"/>
  <c r="E16" i="12"/>
  <c r="C14" i="12"/>
  <c r="F53" i="19" l="1"/>
  <c r="F54" i="19" l="1"/>
  <c r="M52" i="19"/>
  <c r="F24" i="22"/>
  <c r="F25" i="22"/>
  <c r="F26" i="22"/>
  <c r="F27" i="22"/>
  <c r="F23" i="22"/>
  <c r="O24" i="22"/>
  <c r="O25" i="22"/>
  <c r="O26" i="22"/>
  <c r="O27" i="22"/>
  <c r="O23" i="22"/>
  <c r="O6" i="22"/>
  <c r="O7" i="22"/>
  <c r="O8" i="22"/>
  <c r="O9" i="22"/>
  <c r="O10" i="22"/>
  <c r="O11" i="22"/>
  <c r="O12" i="22"/>
  <c r="O5" i="22"/>
  <c r="F6" i="22"/>
  <c r="F7" i="22"/>
  <c r="F8" i="22"/>
  <c r="F9" i="22"/>
  <c r="F10" i="22"/>
  <c r="F11" i="22"/>
  <c r="F12" i="22"/>
  <c r="F5" i="22"/>
  <c r="J5" i="22"/>
  <c r="Q24" i="22"/>
  <c r="Q25" i="22"/>
  <c r="Q26" i="22"/>
  <c r="Q27" i="22"/>
  <c r="Q23" i="22"/>
  <c r="J24" i="22"/>
  <c r="J25" i="22"/>
  <c r="J26" i="22"/>
  <c r="J27" i="22"/>
  <c r="J23" i="22"/>
  <c r="M24" i="22"/>
  <c r="M25" i="22"/>
  <c r="M26" i="22"/>
  <c r="M27" i="22"/>
  <c r="M23" i="22"/>
  <c r="D24" i="22"/>
  <c r="D25" i="22"/>
  <c r="D26" i="22"/>
  <c r="D27" i="22"/>
  <c r="D23" i="22"/>
  <c r="D5" i="22"/>
  <c r="Q6" i="22"/>
  <c r="Q7" i="22"/>
  <c r="Q8" i="22"/>
  <c r="Q9" i="22"/>
  <c r="Q10" i="22"/>
  <c r="Q11" i="22"/>
  <c r="Q12" i="22"/>
  <c r="Q5" i="22"/>
  <c r="J6" i="22"/>
  <c r="J7" i="22"/>
  <c r="J8" i="22"/>
  <c r="J9" i="22"/>
  <c r="J10" i="22"/>
  <c r="J11" i="22"/>
  <c r="J12" i="22"/>
  <c r="G29" i="16" l="1"/>
  <c r="K52" i="19"/>
  <c r="M6" i="22"/>
  <c r="M7" i="22"/>
  <c r="M8" i="22"/>
  <c r="M9" i="22"/>
  <c r="M10" i="22"/>
  <c r="M11" i="22"/>
  <c r="M12" i="22"/>
  <c r="M5" i="22"/>
  <c r="D6" i="22"/>
  <c r="D7" i="22"/>
  <c r="D8" i="22"/>
  <c r="D9" i="22"/>
  <c r="D10" i="22"/>
  <c r="D11" i="22"/>
  <c r="D12" i="22"/>
  <c r="E5" i="22" l="1"/>
  <c r="F1" i="22"/>
  <c r="G5" i="22" l="1"/>
  <c r="I5" i="22"/>
  <c r="K5" i="22"/>
  <c r="N5" i="22"/>
  <c r="P5" i="22"/>
  <c r="R5" i="22"/>
  <c r="E6" i="22"/>
  <c r="G6" i="22"/>
  <c r="I6" i="22"/>
  <c r="K6" i="22"/>
  <c r="N6" i="22"/>
  <c r="P6" i="22"/>
  <c r="R6" i="22"/>
  <c r="E7" i="22"/>
  <c r="G7" i="22"/>
  <c r="I7" i="22"/>
  <c r="K7" i="22"/>
  <c r="N7" i="22"/>
  <c r="P7" i="22"/>
  <c r="R7" i="22"/>
  <c r="E8" i="22"/>
  <c r="G8" i="22"/>
  <c r="I8" i="22"/>
  <c r="K8" i="22"/>
  <c r="N8" i="22"/>
  <c r="P8" i="22"/>
  <c r="R8" i="22"/>
  <c r="E9" i="22"/>
  <c r="G9" i="22"/>
  <c r="I9" i="22"/>
  <c r="K9" i="22"/>
  <c r="N9" i="22"/>
  <c r="P9" i="22"/>
  <c r="R9" i="22"/>
  <c r="E10" i="22"/>
  <c r="G10" i="22"/>
  <c r="I10" i="22"/>
  <c r="K10" i="22"/>
  <c r="N10" i="22"/>
  <c r="P10" i="22"/>
  <c r="R10" i="22"/>
  <c r="E11" i="22"/>
  <c r="G11" i="22"/>
  <c r="I11" i="22"/>
  <c r="K11" i="22"/>
  <c r="N11" i="22"/>
  <c r="P11" i="22"/>
  <c r="R11" i="22"/>
  <c r="E12" i="22"/>
  <c r="G12" i="22"/>
  <c r="I12" i="22"/>
  <c r="K12" i="22"/>
  <c r="N12" i="22"/>
  <c r="P12" i="22"/>
  <c r="R12" i="22"/>
  <c r="E13" i="22"/>
  <c r="G13" i="22"/>
  <c r="I13" i="22"/>
  <c r="K13" i="22"/>
  <c r="N13" i="22"/>
  <c r="P13" i="22"/>
  <c r="R13" i="22"/>
  <c r="E14" i="22"/>
  <c r="G14" i="22"/>
  <c r="I14" i="22"/>
  <c r="K14" i="22"/>
  <c r="N14" i="22"/>
  <c r="P14" i="22"/>
  <c r="R14" i="22"/>
  <c r="E15" i="22"/>
  <c r="G15" i="22"/>
  <c r="I15" i="22"/>
  <c r="K15" i="22"/>
  <c r="N15" i="22"/>
  <c r="P15" i="22"/>
  <c r="R15" i="22"/>
  <c r="E16" i="22"/>
  <c r="G16" i="22"/>
  <c r="I16" i="22"/>
  <c r="K16" i="22"/>
  <c r="N16" i="22"/>
  <c r="P16" i="22"/>
  <c r="R16" i="22"/>
  <c r="E17" i="22"/>
  <c r="G17" i="22"/>
  <c r="I17" i="22"/>
  <c r="K17" i="22"/>
  <c r="N17" i="22"/>
  <c r="P17" i="22"/>
  <c r="R17" i="22"/>
  <c r="E18" i="22"/>
  <c r="G18" i="22"/>
  <c r="I18" i="22"/>
  <c r="K18" i="22"/>
  <c r="N18" i="22"/>
  <c r="P18" i="22"/>
  <c r="R18" i="22"/>
  <c r="E19" i="22"/>
  <c r="G19" i="22"/>
  <c r="I19" i="22"/>
  <c r="K19" i="22"/>
  <c r="N19" i="22"/>
  <c r="P19" i="22"/>
  <c r="R19" i="22"/>
  <c r="E20" i="22"/>
  <c r="G20" i="22"/>
  <c r="I20" i="22"/>
  <c r="K20" i="22"/>
  <c r="N20" i="22"/>
  <c r="P20" i="22"/>
  <c r="R20" i="22"/>
  <c r="E21" i="22"/>
  <c r="G21" i="22"/>
  <c r="I21" i="22"/>
  <c r="K21" i="22"/>
  <c r="N21" i="22"/>
  <c r="P21" i="22"/>
  <c r="R21" i="22"/>
  <c r="E23" i="22"/>
  <c r="G23" i="22"/>
  <c r="I23" i="22"/>
  <c r="K23" i="22"/>
  <c r="N23" i="22"/>
  <c r="P23" i="22"/>
  <c r="R23" i="22"/>
  <c r="E24" i="22"/>
  <c r="G24" i="22"/>
  <c r="I24" i="22"/>
  <c r="K24" i="22"/>
  <c r="N24" i="22"/>
  <c r="P24" i="22"/>
  <c r="R24" i="22"/>
  <c r="E25" i="22"/>
  <c r="G25" i="22"/>
  <c r="I25" i="22"/>
  <c r="K25" i="22"/>
  <c r="N25" i="22"/>
  <c r="P25" i="22"/>
  <c r="R25" i="22"/>
  <c r="E26" i="22"/>
  <c r="G26" i="22"/>
  <c r="I26" i="22"/>
  <c r="K26" i="22"/>
  <c r="N26" i="22"/>
  <c r="P26" i="22"/>
  <c r="R26" i="22"/>
  <c r="E27" i="22"/>
  <c r="G27" i="22"/>
  <c r="I27" i="22"/>
  <c r="K27" i="22"/>
  <c r="N27" i="22"/>
  <c r="P27" i="22"/>
  <c r="R27" i="22"/>
  <c r="E28" i="22"/>
  <c r="G28" i="22"/>
  <c r="I28" i="22"/>
  <c r="K28" i="22"/>
  <c r="N28" i="22"/>
  <c r="P28" i="22"/>
  <c r="R28" i="22"/>
  <c r="E29" i="22"/>
  <c r="G29" i="22"/>
  <c r="I29" i="22"/>
  <c r="K29" i="22"/>
  <c r="N29" i="22"/>
  <c r="P29" i="22"/>
  <c r="R29" i="22"/>
  <c r="E30" i="22"/>
  <c r="G30" i="22"/>
  <c r="I30" i="22"/>
  <c r="K30" i="22"/>
  <c r="N30" i="22"/>
  <c r="P30" i="22"/>
  <c r="R30" i="22"/>
  <c r="E31" i="22"/>
  <c r="G31" i="22"/>
  <c r="I31" i="22"/>
  <c r="K31" i="22"/>
  <c r="N31" i="22"/>
  <c r="P31" i="22"/>
  <c r="R31" i="22"/>
  <c r="F38" i="22"/>
  <c r="Q41" i="22"/>
  <c r="R41" i="22"/>
  <c r="D60" i="22"/>
  <c r="E60" i="22"/>
  <c r="D71" i="22"/>
  <c r="D73" i="22" s="1"/>
  <c r="D75" i="22" s="1"/>
  <c r="E71" i="22"/>
  <c r="E73" i="22" s="1"/>
  <c r="E75" i="22" s="1"/>
  <c r="I32" i="22" l="1"/>
  <c r="L46" i="22" s="1"/>
  <c r="L51" i="22" s="1"/>
  <c r="K32" i="22"/>
  <c r="R32" i="22"/>
  <c r="N32" i="22"/>
  <c r="G32" i="22"/>
  <c r="P22" i="22"/>
  <c r="N22" i="22"/>
  <c r="I22" i="22"/>
  <c r="L38" i="22" s="1"/>
  <c r="L44" i="22" s="1"/>
  <c r="L53" i="22" s="1"/>
  <c r="G22" i="22"/>
  <c r="E22" i="22"/>
  <c r="R22" i="22"/>
  <c r="K22" i="22"/>
  <c r="P32" i="22"/>
  <c r="E32" i="22"/>
  <c r="I159" i="20"/>
  <c r="I143" i="20"/>
  <c r="H40" i="20"/>
  <c r="D19" i="20"/>
  <c r="C38" i="16" s="1"/>
  <c r="K33" i="22" l="1"/>
  <c r="Q43" i="22" s="1"/>
  <c r="Q45" i="22" s="1"/>
  <c r="Q47" i="22" s="1"/>
  <c r="G33" i="22"/>
  <c r="R33" i="22"/>
  <c r="R43" i="22" s="1"/>
  <c r="R45" i="22" s="1"/>
  <c r="R47" i="22" s="1"/>
  <c r="N33" i="22"/>
  <c r="E38" i="22" s="1"/>
  <c r="P33" i="22"/>
  <c r="E33" i="22"/>
  <c r="D38" i="22" s="1"/>
  <c r="H38" i="20" l="1"/>
  <c r="D6" i="16"/>
  <c r="D5" i="16"/>
  <c r="D10" i="19" l="1"/>
  <c r="F10" i="20"/>
  <c r="H64" i="20" s="1"/>
  <c r="E8" i="16"/>
  <c r="H54" i="20"/>
  <c r="H52" i="20"/>
  <c r="H50" i="20"/>
  <c r="H48" i="20"/>
  <c r="M20" i="19" l="1"/>
  <c r="F24" i="19"/>
  <c r="H70" i="20"/>
  <c r="I72" i="20" s="1"/>
  <c r="J72" i="20" s="1"/>
  <c r="G39" i="16" s="1"/>
  <c r="H135" i="20"/>
  <c r="G42" i="16" s="1"/>
  <c r="H119" i="20"/>
  <c r="G41" i="16" s="1"/>
  <c r="H101" i="20"/>
  <c r="G40" i="16" s="1"/>
  <c r="H151" i="20"/>
  <c r="G43" i="16" s="1"/>
  <c r="E45" i="19"/>
  <c r="E24" i="19"/>
  <c r="I23" i="19" l="1"/>
  <c r="H44" i="20"/>
  <c r="H42" i="20"/>
  <c r="I24" i="19" l="1"/>
  <c r="I25" i="19" s="1"/>
  <c r="F24" i="20"/>
  <c r="F25" i="20"/>
  <c r="F26" i="20"/>
  <c r="J23" i="19" l="1"/>
  <c r="M23" i="19" s="1"/>
  <c r="M12" i="20"/>
  <c r="F12" i="20"/>
  <c r="M8" i="20"/>
  <c r="M6" i="20"/>
  <c r="E63" i="19"/>
  <c r="F33" i="19"/>
  <c r="F29" i="19"/>
  <c r="M28" i="19" s="1"/>
  <c r="F333" i="20" l="1"/>
  <c r="F335" i="20"/>
  <c r="F331" i="20"/>
  <c r="I331" i="20" s="1"/>
  <c r="F329" i="20"/>
  <c r="I329" i="20" s="1"/>
  <c r="F327" i="20"/>
  <c r="I327" i="20" s="1"/>
  <c r="I335" i="20"/>
  <c r="I333" i="20"/>
  <c r="F318" i="20"/>
  <c r="H177" i="20"/>
  <c r="J177" i="20" s="1"/>
  <c r="H320" i="20"/>
  <c r="F306" i="20"/>
  <c r="I44" i="20"/>
  <c r="I36" i="20"/>
  <c r="F269" i="20"/>
  <c r="I269" i="20" s="1"/>
  <c r="F261" i="20"/>
  <c r="I261" i="20" s="1"/>
  <c r="F268" i="20"/>
  <c r="I268" i="20" s="1"/>
  <c r="F260" i="20"/>
  <c r="I260" i="20" s="1"/>
  <c r="F259" i="20"/>
  <c r="I259" i="20" s="1"/>
  <c r="F267" i="20"/>
  <c r="I267" i="20" s="1"/>
  <c r="F266" i="20"/>
  <c r="I266" i="20" s="1"/>
  <c r="F258" i="20"/>
  <c r="I258" i="20" s="1"/>
  <c r="F264" i="20"/>
  <c r="I264" i="20" s="1"/>
  <c r="F271" i="20"/>
  <c r="I271" i="20" s="1"/>
  <c r="F270" i="20"/>
  <c r="I270" i="20" s="1"/>
  <c r="F254" i="20"/>
  <c r="I254" i="20" s="1"/>
  <c r="F265" i="20"/>
  <c r="I265" i="20" s="1"/>
  <c r="F257" i="20"/>
  <c r="I257" i="20" s="1"/>
  <c r="F256" i="20"/>
  <c r="I256" i="20" s="1"/>
  <c r="F263" i="20"/>
  <c r="I263" i="20" s="1"/>
  <c r="F255" i="20"/>
  <c r="I255" i="20" s="1"/>
  <c r="F262" i="20"/>
  <c r="I262" i="20" s="1"/>
  <c r="F173" i="20"/>
  <c r="F176" i="20"/>
  <c r="F175" i="20"/>
  <c r="F174" i="20"/>
  <c r="H308" i="20"/>
  <c r="H309" i="20" s="1"/>
  <c r="F227" i="20"/>
  <c r="F228" i="20" s="1"/>
  <c r="F248" i="20"/>
  <c r="I248" i="20" s="1"/>
  <c r="F240" i="20"/>
  <c r="I240" i="20" s="1"/>
  <c r="F247" i="20"/>
  <c r="I247" i="20" s="1"/>
  <c r="F239" i="20"/>
  <c r="I239" i="20" s="1"/>
  <c r="F246" i="20"/>
  <c r="I246" i="20" s="1"/>
  <c r="F253" i="20"/>
  <c r="I253" i="20" s="1"/>
  <c r="F245" i="20"/>
  <c r="I245" i="20" s="1"/>
  <c r="F252" i="20"/>
  <c r="I252" i="20" s="1"/>
  <c r="F244" i="20"/>
  <c r="I244" i="20" s="1"/>
  <c r="F251" i="20"/>
  <c r="I251" i="20" s="1"/>
  <c r="F243" i="20"/>
  <c r="I243" i="20" s="1"/>
  <c r="F250" i="20"/>
  <c r="I250" i="20" s="1"/>
  <c r="F242" i="20"/>
  <c r="I242" i="20" s="1"/>
  <c r="F249" i="20"/>
  <c r="I249" i="20" s="1"/>
  <c r="F241" i="20"/>
  <c r="I241" i="20" s="1"/>
  <c r="F214" i="20"/>
  <c r="F215" i="20" s="1"/>
  <c r="F222" i="20"/>
  <c r="F223" i="20" s="1"/>
  <c r="F211" i="20"/>
  <c r="F212" i="20" s="1"/>
  <c r="F198" i="20"/>
  <c r="I198" i="20" s="1"/>
  <c r="F217" i="20"/>
  <c r="F218" i="20" s="1"/>
  <c r="F199" i="20"/>
  <c r="I199" i="20" s="1"/>
  <c r="F194" i="20"/>
  <c r="I194" i="20" s="1"/>
  <c r="F45" i="16" s="1"/>
  <c r="F150" i="20"/>
  <c r="I150" i="20" s="1"/>
  <c r="F118" i="20"/>
  <c r="I118" i="20" s="1"/>
  <c r="F100" i="20"/>
  <c r="I100" i="20" s="1"/>
  <c r="F134" i="20"/>
  <c r="I134" i="20" s="1"/>
  <c r="F80" i="20"/>
  <c r="F78" i="20"/>
  <c r="I78" i="20" s="1"/>
  <c r="F82" i="20"/>
  <c r="I82" i="20" s="1"/>
  <c r="F81" i="20"/>
  <c r="I81" i="20" s="1"/>
  <c r="F79" i="20"/>
  <c r="G24" i="16"/>
  <c r="I42" i="20"/>
  <c r="I54" i="20"/>
  <c r="I50" i="20"/>
  <c r="I48" i="20"/>
  <c r="I52" i="20"/>
  <c r="I25" i="20"/>
  <c r="I23" i="20"/>
  <c r="H24" i="20"/>
  <c r="H26" i="20"/>
  <c r="I26" i="20" s="1"/>
  <c r="H339" i="20" l="1"/>
  <c r="H321" i="20"/>
  <c r="I306" i="20"/>
  <c r="F50" i="16" s="1"/>
  <c r="I86" i="20"/>
  <c r="I28" i="20"/>
  <c r="F48" i="16"/>
  <c r="H178" i="20"/>
  <c r="E182" i="20" s="1"/>
  <c r="I92" i="20"/>
  <c r="I90" i="20"/>
  <c r="I88" i="20"/>
  <c r="J309" i="20"/>
  <c r="G50" i="16" s="1"/>
  <c r="F46" i="16"/>
  <c r="I24" i="20"/>
  <c r="I318" i="20" l="1"/>
  <c r="F51" i="16" s="1"/>
  <c r="J321" i="20"/>
  <c r="G51" i="16" s="1"/>
  <c r="H340" i="20"/>
  <c r="F52" i="16" s="1"/>
  <c r="I175" i="20"/>
  <c r="I174" i="20"/>
  <c r="I173" i="20"/>
  <c r="I176" i="20"/>
  <c r="J182" i="20"/>
  <c r="F39" i="16"/>
  <c r="K6" i="19"/>
  <c r="M62" i="19" s="1"/>
  <c r="K12" i="19"/>
  <c r="K8" i="19"/>
  <c r="D12" i="19"/>
  <c r="J340" i="20" l="1"/>
  <c r="G52" i="16" s="1"/>
  <c r="E39" i="19"/>
  <c r="I38" i="19" s="1"/>
  <c r="I39" i="19" s="1"/>
  <c r="I40" i="19" s="1"/>
  <c r="M36" i="19"/>
  <c r="F25" i="19"/>
  <c r="J45" i="19"/>
  <c r="F68" i="19"/>
  <c r="I52" i="19"/>
  <c r="E48" i="19"/>
  <c r="G24" i="19"/>
  <c r="G40" i="19"/>
  <c r="G25" i="19"/>
  <c r="G39" i="19"/>
  <c r="G32" i="19"/>
  <c r="L32" i="19" s="1"/>
  <c r="F25" i="16" s="1"/>
  <c r="G38" i="19"/>
  <c r="G62" i="19"/>
  <c r="L62" i="19" s="1"/>
  <c r="G28" i="19"/>
  <c r="G23" i="19"/>
  <c r="F44" i="16"/>
  <c r="J180" i="20"/>
  <c r="G44" i="16" s="1"/>
  <c r="E58" i="19"/>
  <c r="E59" i="19" s="1"/>
  <c r="F8" i="20"/>
  <c r="J72" i="19"/>
  <c r="F63" i="19"/>
  <c r="M32" i="19"/>
  <c r="G25" i="16" s="1"/>
  <c r="G64" i="19"/>
  <c r="L64" i="19" s="1"/>
  <c r="F57" i="19"/>
  <c r="E53" i="19"/>
  <c r="F39" i="19"/>
  <c r="D8" i="19"/>
  <c r="E69" i="19" s="1"/>
  <c r="J24" i="19" l="1"/>
  <c r="I107" i="20"/>
  <c r="L52" i="19"/>
  <c r="F29" i="16" s="1"/>
  <c r="L68" i="19"/>
  <c r="F32" i="16" s="1"/>
  <c r="L57" i="19"/>
  <c r="F30" i="16" s="1"/>
  <c r="L28" i="19"/>
  <c r="F24" i="16" s="1"/>
  <c r="I105" i="20"/>
  <c r="I155" i="20"/>
  <c r="I139" i="20"/>
  <c r="I123" i="20"/>
  <c r="I157" i="20"/>
  <c r="I141" i="20"/>
  <c r="L48" i="19"/>
  <c r="F28" i="16" s="1"/>
  <c r="I125" i="20"/>
  <c r="I109" i="20"/>
  <c r="E40" i="19"/>
  <c r="H30" i="20"/>
  <c r="H31" i="20" s="1"/>
  <c r="J31" i="20" s="1"/>
  <c r="D42" i="22"/>
  <c r="M57" i="19"/>
  <c r="G30" i="16" s="1"/>
  <c r="F40" i="19"/>
  <c r="I127" i="20"/>
  <c r="I111" i="20"/>
  <c r="F31" i="16"/>
  <c r="M68" i="19"/>
  <c r="E70" i="19"/>
  <c r="E54" i="19"/>
  <c r="E65" i="19"/>
  <c r="J38" i="19" l="1" a="1"/>
  <c r="J38" i="19" s="1"/>
  <c r="J25" i="19"/>
  <c r="L23" i="19" s="1"/>
  <c r="J39" i="19"/>
  <c r="I40" i="20"/>
  <c r="M64" i="19"/>
  <c r="G31" i="16" s="1"/>
  <c r="K44" i="19"/>
  <c r="G38" i="16"/>
  <c r="M38" i="19" l="1"/>
  <c r="G26" i="16" s="1"/>
  <c r="J40" i="19"/>
  <c r="L38" i="19" s="1"/>
  <c r="F26" i="16" s="1"/>
  <c r="L44" i="19"/>
  <c r="F27" i="16" s="1"/>
  <c r="D55" i="12" l="1"/>
  <c r="E55" i="12" s="1"/>
  <c r="D52" i="12"/>
  <c r="E52" i="12" s="1"/>
  <c r="D49" i="12"/>
  <c r="D48" i="12"/>
  <c r="E48" i="12" s="1"/>
  <c r="D44" i="12"/>
  <c r="F14" i="16" l="1"/>
  <c r="E14" i="16"/>
  <c r="E49" i="12"/>
  <c r="F15" i="16" s="1"/>
  <c r="E15" i="16"/>
  <c r="E16" i="16"/>
  <c r="F16" i="16"/>
  <c r="E44" i="12"/>
  <c r="F13" i="16" s="1"/>
  <c r="E13" i="16"/>
  <c r="F17" i="16"/>
  <c r="E58" i="12" l="1"/>
  <c r="D58" i="12" s="1"/>
  <c r="D40" i="22" l="1"/>
  <c r="D46" i="22" s="1"/>
  <c r="D62" i="22" s="1"/>
  <c r="D66" i="22" s="1"/>
  <c r="D68" i="22" s="1"/>
  <c r="D70" i="22" s="1"/>
  <c r="D72" i="22" s="1"/>
  <c r="E19" i="16"/>
  <c r="F19" i="16"/>
  <c r="E40" i="22" l="1"/>
  <c r="N24" i="19" l="1"/>
  <c r="I38" i="20" l="1"/>
  <c r="F38" i="16" s="1"/>
  <c r="M26" i="19" l="1"/>
  <c r="G23" i="16" s="1"/>
  <c r="F23" i="16" l="1"/>
  <c r="F34" i="16" s="1"/>
  <c r="I137" i="20"/>
  <c r="F42" i="16" s="1"/>
  <c r="K72" i="19"/>
  <c r="I103" i="20"/>
  <c r="F40" i="16" s="1"/>
  <c r="I121" i="20"/>
  <c r="F41" i="16" s="1"/>
  <c r="I153" i="20"/>
  <c r="F43" i="16" s="1"/>
  <c r="H343" i="20" l="1"/>
  <c r="F54" i="16"/>
  <c r="F56" i="16" s="1"/>
  <c r="E41" i="22"/>
  <c r="E42" i="22" l="1"/>
  <c r="E46" i="22" s="1"/>
  <c r="E62" i="22" s="1"/>
  <c r="E66" i="22" s="1"/>
  <c r="E68" i="22" s="1"/>
  <c r="E70" i="22" s="1"/>
  <c r="E72" i="2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<sst xmlns="http://schemas.openxmlformats.org/spreadsheetml/2006/main" count="1016" uniqueCount="705">
  <si>
    <t>ha</t>
  </si>
  <si>
    <t>Junglandwirte</t>
  </si>
  <si>
    <t>Basisprämie</t>
  </si>
  <si>
    <t>Junglandwirteprämie</t>
  </si>
  <si>
    <t>Berechnung der GAP Direktzahlungen</t>
  </si>
  <si>
    <t>Junglandwirt/in</t>
  </si>
  <si>
    <t>Angaben zur Betriebsstruktur</t>
  </si>
  <si>
    <t>Flächenausstattung</t>
  </si>
  <si>
    <t>Allgemeine Angaben</t>
  </si>
  <si>
    <t>Wirtschaftsform</t>
  </si>
  <si>
    <t>ÖR 1a</t>
  </si>
  <si>
    <t>Stufe 1</t>
  </si>
  <si>
    <t>Stufe 2</t>
  </si>
  <si>
    <t>Stufe 3</t>
  </si>
  <si>
    <t>ÖR 1b</t>
  </si>
  <si>
    <t>ÖR 1c</t>
  </si>
  <si>
    <t>ÖR 1d</t>
  </si>
  <si>
    <t>ÖR 2</t>
  </si>
  <si>
    <t>ÖR 3</t>
  </si>
  <si>
    <t>ÖR 4</t>
  </si>
  <si>
    <t>ÖR 5</t>
  </si>
  <si>
    <t>ÖR 6</t>
  </si>
  <si>
    <t>ÖR 7</t>
  </si>
  <si>
    <t>Öko-Regelungen / Eco Schemes</t>
  </si>
  <si>
    <t>HALM-Förderung</t>
  </si>
  <si>
    <t>Umverteilungsprämie [€/ha]</t>
  </si>
  <si>
    <t>Junglandwirteprämie [€/ha]</t>
  </si>
  <si>
    <t>Basisprämie [€/ha]</t>
  </si>
  <si>
    <t>gekoppelte Tierprämien</t>
  </si>
  <si>
    <t xml:space="preserve"> (je ha landwirtschaftliche Fläche)</t>
  </si>
  <si>
    <t xml:space="preserve">gesamt </t>
  </si>
  <si>
    <t>1 - 40 ha LF</t>
  </si>
  <si>
    <t>41 - 60 ha LF</t>
  </si>
  <si>
    <t>max. 120 ha LF</t>
  </si>
  <si>
    <t>Umverteilung 1 - 40 ha</t>
  </si>
  <si>
    <t>Umverteilung 41 - 60 ha</t>
  </si>
  <si>
    <t>Mutterkuh</t>
  </si>
  <si>
    <t>je ha</t>
  </si>
  <si>
    <t>bitte wählen</t>
  </si>
  <si>
    <t>Jahr wählen</t>
  </si>
  <si>
    <t>min. 3 Tiere</t>
  </si>
  <si>
    <t>min. 6 Tiere</t>
  </si>
  <si>
    <t>Summe Basisprämie</t>
  </si>
  <si>
    <t>gesamt</t>
  </si>
  <si>
    <t>Ackerfläche (AF)</t>
  </si>
  <si>
    <t>Grünlandfläche (DGL)</t>
  </si>
  <si>
    <t>Dauerkulturen</t>
  </si>
  <si>
    <t>Gesamte förderfähige Fläche</t>
  </si>
  <si>
    <t xml:space="preserve"> (weiße Felder = Übernahme aus vorherigem Tabellenblatt)</t>
  </si>
  <si>
    <t>Maßnahmenbezeichnung</t>
  </si>
  <si>
    <t>Verbesserung der Biodiversität</t>
  </si>
  <si>
    <t>1a</t>
  </si>
  <si>
    <t>1b</t>
  </si>
  <si>
    <t>1c</t>
  </si>
  <si>
    <t>Blühflächen in Dauerkulturen</t>
  </si>
  <si>
    <t>Quantitaive Erweiterung der Stilllegung nach GLÖZ 8</t>
  </si>
  <si>
    <t>1d</t>
  </si>
  <si>
    <t>Altgrasstreifen auf Dauergrünland</t>
  </si>
  <si>
    <t>Vielfältige Ackerkulturen</t>
  </si>
  <si>
    <t>Beibehaltung Agroforst auf Acker- od. Grünland</t>
  </si>
  <si>
    <t>Extensivierung des gesamten DGLs</t>
  </si>
  <si>
    <t>Bewirtschaftung von DGL mit mind. vier Kennarten</t>
  </si>
  <si>
    <t>Verzicht auf chem.-synth. Pflanzenschutz auf AF und in DK</t>
  </si>
  <si>
    <t>Qualitative Aufwertung der ÖR 1a mittels Blühflächen</t>
  </si>
  <si>
    <t>Fläche [ha]</t>
  </si>
  <si>
    <t>gewähltes Jahr</t>
  </si>
  <si>
    <t>min. ha</t>
  </si>
  <si>
    <t>Betriebskennzahlen zur Ermittlung der Förderung über die Öko-Regelungen</t>
  </si>
  <si>
    <t>min./max Flächenanteil und Fördersatz</t>
  </si>
  <si>
    <t>Hinweise</t>
  </si>
  <si>
    <t>keine Vorgabe</t>
  </si>
  <si>
    <t>max. ÖR 1a</t>
  </si>
  <si>
    <t>min. Fläche</t>
  </si>
  <si>
    <t>min. 1 % DGL</t>
  </si>
  <si>
    <t>max. 6 % DGL</t>
  </si>
  <si>
    <t>Fördersatz</t>
  </si>
  <si>
    <t>je ha Gehölzstreifen</t>
  </si>
  <si>
    <t>Flächenanteil und Fördersatz</t>
  </si>
  <si>
    <t xml:space="preserve">gesamtes DGL </t>
  </si>
  <si>
    <t>max Flächenanteil und Fördersatz</t>
  </si>
  <si>
    <t>max. DGL</t>
  </si>
  <si>
    <t>max. AF</t>
  </si>
  <si>
    <t>max. DK</t>
  </si>
  <si>
    <t>Sommerungen auf AF und DK</t>
  </si>
  <si>
    <t>Ackerfutter</t>
  </si>
  <si>
    <t>wechselnder Fördersatz</t>
  </si>
  <si>
    <t>max. Fläche</t>
  </si>
  <si>
    <t>in FFH- und Vogelschutzgebieten</t>
  </si>
  <si>
    <t>B.1</t>
  </si>
  <si>
    <t>Förderung der Beibehaltung des ökologischen Landbaus</t>
  </si>
  <si>
    <t>je ha Ackerfläche</t>
  </si>
  <si>
    <t>je ha Dauergrünland</t>
  </si>
  <si>
    <t>je ha Gemüse</t>
  </si>
  <si>
    <t>je ha Dauerkulturen</t>
  </si>
  <si>
    <t>Verpflichtungs-fläche</t>
  </si>
  <si>
    <t>Dropdowns</t>
  </si>
  <si>
    <t>konventionell</t>
  </si>
  <si>
    <t>ökologisch</t>
  </si>
  <si>
    <t>Junglandwirtin</t>
  </si>
  <si>
    <t>nein</t>
  </si>
  <si>
    <t>ja</t>
  </si>
  <si>
    <t>Milchabgabe</t>
  </si>
  <si>
    <t>Ausnahme GLÖZ 8</t>
  </si>
  <si>
    <t>Umstellung Öko</t>
  </si>
  <si>
    <t>HALM B.1</t>
  </si>
  <si>
    <t>Umstellung</t>
  </si>
  <si>
    <t>gesamte Förderhöhe</t>
  </si>
  <si>
    <t>Reduktion bei ÖR 4 DGL-Extensivierung</t>
  </si>
  <si>
    <t>Abzug ÖR 6 Verzicht chem. Synth. PSM</t>
  </si>
  <si>
    <t>HALM C.3.2 Mehrjährige Blühstreifen</t>
  </si>
  <si>
    <t xml:space="preserve"> (Zahlung des höheren Betrags)</t>
  </si>
  <si>
    <t>HALM C.3.3 Erosionsschutzstreifen</t>
  </si>
  <si>
    <t>HALM C.3.5 Ackerwildkrautflächen</t>
  </si>
  <si>
    <t>HALM C.3.6 Gewässerschutzsstreifen</t>
  </si>
  <si>
    <t>C.1</t>
  </si>
  <si>
    <t>Vielfältige Kulturen im Ackerbau</t>
  </si>
  <si>
    <t>C.3.2</t>
  </si>
  <si>
    <t>Mehrjährige Blühstreifen/-flächen</t>
  </si>
  <si>
    <t>Abzug ÖR 1b Blühflächen Erweiterung 1a</t>
  </si>
  <si>
    <t>Abzug ÖR 2 Vielfältige Ackerkulturen</t>
  </si>
  <si>
    <t>Abzug ÖR 3 Agroforst</t>
  </si>
  <si>
    <t>C.3.3</t>
  </si>
  <si>
    <t>Erosionsschutzstreifen</t>
  </si>
  <si>
    <t>C.3.5</t>
  </si>
  <si>
    <t>Ackerwildkrautflächen</t>
  </si>
  <si>
    <t>C.3.6</t>
  </si>
  <si>
    <t>Gewässerschutzstreifen</t>
  </si>
  <si>
    <t>je ha Erosionsschutzstreifen</t>
  </si>
  <si>
    <t>je ha Ackerwildkrautfläche</t>
  </si>
  <si>
    <t>je ha Gewässerschutzstreifen</t>
  </si>
  <si>
    <t>C</t>
  </si>
  <si>
    <t>Förderung besonders nachhaltiger Verfahren im Ackerbau</t>
  </si>
  <si>
    <t>D</t>
  </si>
  <si>
    <t>Förderung besonders nachhaltiger Verfahren auf Dauergrünland</t>
  </si>
  <si>
    <t>D.1</t>
  </si>
  <si>
    <t>E</t>
  </si>
  <si>
    <t>Förderung besonders nachhaltiger Verfahren bei Dauerkulturen</t>
  </si>
  <si>
    <t>E.2</t>
  </si>
  <si>
    <t>Erhaltung von Streuobstbeständen</t>
  </si>
  <si>
    <t>E.2.1</t>
  </si>
  <si>
    <t>Erhaltungsschnitt</t>
  </si>
  <si>
    <t>je Baum im Verpflichtungszeitraum</t>
  </si>
  <si>
    <t>Nachpflanzung</t>
  </si>
  <si>
    <t>je Baum im Pflanzjahr einmalig</t>
  </si>
  <si>
    <t xml:space="preserve"> (je nachgepflanzter Baum im Verpflichtungszeitraum)</t>
  </si>
  <si>
    <t>G</t>
  </si>
  <si>
    <t>Erhaltung der Vielfalt der genetischen Ressourcen in der Landwirtschaft</t>
  </si>
  <si>
    <t>G.2</t>
  </si>
  <si>
    <t>Tiergenetische Ressourcen</t>
  </si>
  <si>
    <t>Anzahl Tiere</t>
  </si>
  <si>
    <t>H</t>
  </si>
  <si>
    <t>Förderung des Arten- und Biotopschutzes in Agrarökosystemen</t>
  </si>
  <si>
    <t>H.1</t>
  </si>
  <si>
    <t>Naturschutzfachliche Sonderleistungen auf Grünland</t>
  </si>
  <si>
    <t>je ha NSL Technik Stufe 1</t>
  </si>
  <si>
    <t>je ha NSL Technik Stufe 2</t>
  </si>
  <si>
    <t>je ha NSL Technik Stufe 3</t>
  </si>
  <si>
    <t>je ha NSL Schonflächen Stufe 1</t>
  </si>
  <si>
    <t>je ha NSL Schonflächen Stufe 2</t>
  </si>
  <si>
    <t>je ha NSL Schonflächen Stufe 3</t>
  </si>
  <si>
    <t>je ha NSL Termin Stufe 1</t>
  </si>
  <si>
    <t>je ha NSL Termin Stufe 2</t>
  </si>
  <si>
    <t>je ha NSL Termin Stufe 3</t>
  </si>
  <si>
    <t>je ha NSL SchaZie-Beweidung Stufe 1</t>
  </si>
  <si>
    <t>je ha NSL SchaZie-Beweidung Stufe 3</t>
  </si>
  <si>
    <t>je ha NSL Beweidung Stufe 1</t>
  </si>
  <si>
    <t>je ha NSL Beweidung Stufe 3</t>
  </si>
  <si>
    <t>je ha NSL Gelegeschutz Stufe 2</t>
  </si>
  <si>
    <t>je ha NSL Gelegeschutz Stufe 3</t>
  </si>
  <si>
    <t>Abzug ÖR 1d Altgrasstreifen</t>
  </si>
  <si>
    <t xml:space="preserve">Voraussichtlich gezahlte Prämie bei Inanspruchnahme und Erfüllung der Öko-Regelungen im Jahr </t>
  </si>
  <si>
    <t>HALM C.1</t>
  </si>
  <si>
    <t>HALM C.3.2</t>
  </si>
  <si>
    <t>allgemein</t>
  </si>
  <si>
    <t>HALM C.3.3</t>
  </si>
  <si>
    <t>HALM C.3.5</t>
  </si>
  <si>
    <t>HALM C.3.6</t>
  </si>
  <si>
    <t>HALM E.2</t>
  </si>
  <si>
    <t>jährlicher Schnitt</t>
  </si>
  <si>
    <t>HALM G.2</t>
  </si>
  <si>
    <t>je förderfähiges Rind (mind. fünf)</t>
  </si>
  <si>
    <t>Leguverpflichtung</t>
  </si>
  <si>
    <t>kleinkörnige</t>
  </si>
  <si>
    <t>großkörnige</t>
  </si>
  <si>
    <t>Gesamte Ackerfläche</t>
  </si>
  <si>
    <t xml:space="preserve"> (Übernahme aus "Basisprämie")</t>
  </si>
  <si>
    <t xml:space="preserve"> (keine Förderung auf der selben Fläche)</t>
  </si>
  <si>
    <t xml:space="preserve"> (Verpflichtungsfläche)</t>
  </si>
  <si>
    <t>Maßnahmenkulisse</t>
  </si>
  <si>
    <t>C.2.a</t>
  </si>
  <si>
    <t>C.2.b</t>
  </si>
  <si>
    <t>HALM B.1 "Ökologischer Landbau" beantragt?</t>
  </si>
  <si>
    <t>Mit NSL versehene Fläche</t>
  </si>
  <si>
    <t>Direktzahlungen</t>
  </si>
  <si>
    <t>Öko-Regelungen</t>
  </si>
  <si>
    <t>Streuobst Erhaltungsschnitt</t>
  </si>
  <si>
    <t>Streuobst Nachpflanzung</t>
  </si>
  <si>
    <t>Direktzahlungen gesamt</t>
  </si>
  <si>
    <t>Öko-Regelungen gesamt</t>
  </si>
  <si>
    <t xml:space="preserve"> (weiße Felder = Übernahme aus "Basisprämie")</t>
  </si>
  <si>
    <t>Verrechnung mit Öko-Regelungen</t>
  </si>
  <si>
    <t>Förderbetrag (€)</t>
  </si>
  <si>
    <t>Haftungsausschluss</t>
  </si>
  <si>
    <t>= Auswahlfelder</t>
  </si>
  <si>
    <t>= Eingabefelder</t>
  </si>
  <si>
    <t>Manuel Fränzke</t>
  </si>
  <si>
    <t>Anschrift / Betriebssitz:</t>
  </si>
  <si>
    <t>Förderbeträge</t>
  </si>
  <si>
    <t>Förderbetrag [€] im gewählten Jahr</t>
  </si>
  <si>
    <t>1-2 % AF</t>
  </si>
  <si>
    <t>aktueller Förderbetrag (€)</t>
  </si>
  <si>
    <t>anteilige Fläche (ha)</t>
  </si>
  <si>
    <t>gesamte AF</t>
  </si>
  <si>
    <t>Betrieb befindet sich in der 5-jährigen Einführungsphase</t>
  </si>
  <si>
    <t>Anzahl Bäume</t>
  </si>
  <si>
    <t>und ergänzenden HALM 2-Förderung</t>
  </si>
  <si>
    <t>Förderfähige Ackerfläche ohne Brachflächen und Fördersatz</t>
  </si>
  <si>
    <t>Teilnahme an ÖR 2</t>
  </si>
  <si>
    <t>Teilnahme ÖR 2 und 4</t>
  </si>
  <si>
    <t>Betriebsname / Eigentümer/in:</t>
  </si>
  <si>
    <t>Teilnahme an ÖR 4</t>
  </si>
  <si>
    <t>Förderung der Einführung des ökologischen Landbaus</t>
  </si>
  <si>
    <t>Abzug ÖR 1b Aufwertung der Stilllegung</t>
  </si>
  <si>
    <r>
      <t xml:space="preserve">Tatsächlicher Kapitaldienst </t>
    </r>
    <r>
      <rPr>
        <sz val="8"/>
        <rFont val="Arial"/>
        <family val="2"/>
      </rPr>
      <t>(Z. 34+35)</t>
    </r>
  </si>
  <si>
    <t xml:space="preserve">   Tilgung</t>
  </si>
  <si>
    <r>
      <t xml:space="preserve">   Zinsaufwand </t>
    </r>
    <r>
      <rPr>
        <sz val="8"/>
        <rFont val="Arial"/>
        <family val="2"/>
      </rPr>
      <t>(als positive Zahl)</t>
    </r>
  </si>
  <si>
    <r>
      <t xml:space="preserve">Kapitaldienstgrenze langfristig </t>
    </r>
    <r>
      <rPr>
        <sz val="8"/>
        <rFont val="Arial"/>
        <family val="2"/>
      </rPr>
      <t>(Z. 31+32)</t>
    </r>
  </si>
  <si>
    <r>
      <t xml:space="preserve">EK-Veränderung b. Unternehmer </t>
    </r>
    <r>
      <rPr>
        <sz val="8"/>
        <rFont val="Arial"/>
        <family val="2"/>
      </rPr>
      <t>(Z. 29-30)</t>
    </r>
  </si>
  <si>
    <t xml:space="preserve">   Entnahmen, ohne Entn. z. Bild. v. Priv.verm.</t>
  </si>
  <si>
    <r>
      <t xml:space="preserve">Gesamteinkommen </t>
    </r>
    <r>
      <rPr>
        <sz val="8"/>
        <rFont val="Arial"/>
        <family val="2"/>
      </rPr>
      <t>(Z. 27+28)</t>
    </r>
  </si>
  <si>
    <t xml:space="preserve">   Einlagen, ohne Einl. aus Priv.verm.</t>
  </si>
  <si>
    <r>
      <t xml:space="preserve">Ordentliches Ergebnis </t>
    </r>
    <r>
      <rPr>
        <sz val="8"/>
        <rFont val="Arial"/>
        <family val="2"/>
      </rPr>
      <t>(Z. 22+23-24-25-26)</t>
    </r>
  </si>
  <si>
    <t xml:space="preserve">   Zinsaufwand</t>
  </si>
  <si>
    <t xml:space="preserve">   Pachtaufwand Fläche</t>
  </si>
  <si>
    <t xml:space="preserve">   Pacht-, Miet-, Zinserträge</t>
  </si>
  <si>
    <r>
      <t xml:space="preserve">Roheinkommen </t>
    </r>
    <r>
      <rPr>
        <sz val="8"/>
        <rFont val="Arial"/>
        <family val="2"/>
      </rPr>
      <t>(Z. 1+6+20)</t>
    </r>
  </si>
  <si>
    <r>
      <t xml:space="preserve">Aufwand, soweit nicht in DKFL </t>
    </r>
    <r>
      <rPr>
        <sz val="8"/>
        <rFont val="Arial"/>
        <family val="2"/>
      </rPr>
      <t>(Z. 7 bis 19)</t>
    </r>
  </si>
  <si>
    <t xml:space="preserve">   19 % Ust. auf die AfA der Sachanlagen</t>
  </si>
  <si>
    <t xml:space="preserve">   betriebliche Steuern</t>
  </si>
  <si>
    <t xml:space="preserve">   sonstiger Betriebsaufwand ohne Pacht</t>
  </si>
  <si>
    <t>Überschuss (+) / Fehlbedarf (-)</t>
  </si>
  <si>
    <t xml:space="preserve">   Betriebsversicherungen</t>
  </si>
  <si>
    <t xml:space="preserve">   sonstige Abschreibungen (bereinigt)</t>
  </si>
  <si>
    <t>Kraftfutterbedarf</t>
  </si>
  <si>
    <t xml:space="preserve">   Unterhaltung Gebäude (bereinigt)</t>
  </si>
  <si>
    <t xml:space="preserve">   Abschreibung Gebäude (bereinigt)</t>
  </si>
  <si>
    <t>Schwund</t>
  </si>
  <si>
    <t xml:space="preserve">   Treib- und Schmierstoffe</t>
  </si>
  <si>
    <t>Saatgut</t>
  </si>
  <si>
    <t xml:space="preserve">   Unterhaltung Maschinen (bereinigt)</t>
  </si>
  <si>
    <t>Verkauf Getreide</t>
  </si>
  <si>
    <t xml:space="preserve">   Abschreibung Maschinen (bereinigt)</t>
  </si>
  <si>
    <t>Bedarf Viehhaltung</t>
  </si>
  <si>
    <t xml:space="preserve">   Lohnarbeit, Maschinenmiete</t>
  </si>
  <si>
    <t>= Gesamt-AKh-Bedarf</t>
  </si>
  <si>
    <t xml:space="preserve">   Berufsgenossenschaft</t>
  </si>
  <si>
    <t>+ Betriebsleitung</t>
  </si>
  <si>
    <t>Verfügbares Kraftfutter</t>
  </si>
  <si>
    <t xml:space="preserve">   Löhne inkl. Sozialversicherung</t>
  </si>
  <si>
    <t>AKh-Bedarf (Übertrag von Seite 1)</t>
  </si>
  <si>
    <r>
      <t>Ertrag, soweit nicht in DKFL</t>
    </r>
    <r>
      <rPr>
        <sz val="10"/>
        <rFont val="Arial"/>
        <family val="2"/>
      </rPr>
      <t xml:space="preserve"> </t>
    </r>
    <r>
      <rPr>
        <sz val="8"/>
        <rFont val="Arial"/>
        <family val="2"/>
      </rPr>
      <t>(Z. 2 bis 5)</t>
    </r>
  </si>
  <si>
    <t>Zukauf Mineralfutter</t>
  </si>
  <si>
    <t xml:space="preserve">   Buchgewinne (ber.)+Viehaufst.+Feldinv.</t>
  </si>
  <si>
    <t>= Gesamt-AKh-Angebot</t>
  </si>
  <si>
    <t>Zukauf Getreide</t>
  </si>
  <si>
    <t xml:space="preserve">   sonstiger Betriebsertrag</t>
  </si>
  <si>
    <t>* AKh/Voll-AK</t>
  </si>
  <si>
    <t>Zukauf Soja</t>
  </si>
  <si>
    <t xml:space="preserve">   Dienstleistung, Nebenbetrieb</t>
  </si>
  <si>
    <t>Arbeitskräfte (in Voll-AK)</t>
  </si>
  <si>
    <t>Zukauf Kraftfutter</t>
  </si>
  <si>
    <t xml:space="preserve">   Zuschüsse nicht in DKFL</t>
  </si>
  <si>
    <t>AKh-Angebot</t>
  </si>
  <si>
    <t>Erzeugtes Getreide</t>
  </si>
  <si>
    <t>Gesamt-DKFL (Übertrag von Seite 1)</t>
  </si>
  <si>
    <t>ZIEL</t>
  </si>
  <si>
    <t>IST</t>
  </si>
  <si>
    <t>Arbeitsbilanz</t>
  </si>
  <si>
    <t>Kraftfutterbilanz</t>
  </si>
  <si>
    <t>Seite 2</t>
  </si>
  <si>
    <r>
      <rPr>
        <b/>
        <sz val="10"/>
        <rFont val="Symbol"/>
        <family val="1"/>
        <charset val="2"/>
      </rPr>
      <t>å</t>
    </r>
    <r>
      <rPr>
        <b/>
        <sz val="10"/>
        <rFont val="Arial"/>
        <family val="2"/>
      </rPr>
      <t xml:space="preserve"> AKh</t>
    </r>
  </si>
  <si>
    <r>
      <rPr>
        <b/>
        <sz val="10"/>
        <rFont val="Symbol"/>
        <family val="1"/>
        <charset val="2"/>
      </rPr>
      <t>å</t>
    </r>
    <r>
      <rPr>
        <b/>
        <sz val="10"/>
        <rFont val="Calibri"/>
        <family val="2"/>
      </rPr>
      <t xml:space="preserve"> </t>
    </r>
    <r>
      <rPr>
        <b/>
        <sz val="10"/>
        <rFont val="Arial"/>
        <family val="2"/>
      </rPr>
      <t>GF</t>
    </r>
  </si>
  <si>
    <r>
      <rPr>
        <b/>
        <sz val="10"/>
        <rFont val="Symbol"/>
        <family val="1"/>
        <charset val="2"/>
      </rPr>
      <t>å</t>
    </r>
    <r>
      <rPr>
        <b/>
        <sz val="10"/>
        <rFont val="Calibri"/>
        <family val="2"/>
      </rPr>
      <t xml:space="preserve"> </t>
    </r>
    <r>
      <rPr>
        <b/>
        <sz val="10"/>
        <rFont val="Arial"/>
        <family val="2"/>
      </rPr>
      <t>DKFL</t>
    </r>
  </si>
  <si>
    <t>Gesamtbetrieb</t>
  </si>
  <si>
    <r>
      <rPr>
        <b/>
        <sz val="10"/>
        <rFont val="Symbol"/>
        <family val="1"/>
        <charset val="2"/>
      </rPr>
      <t>å</t>
    </r>
    <r>
      <rPr>
        <b/>
        <sz val="10"/>
        <rFont val="Calibri"/>
        <family val="2"/>
      </rPr>
      <t xml:space="preserve"> </t>
    </r>
    <r>
      <rPr>
        <b/>
        <sz val="10"/>
        <rFont val="Arial"/>
        <family val="2"/>
      </rPr>
      <t>GF-Bed.</t>
    </r>
  </si>
  <si>
    <r>
      <rPr>
        <b/>
        <sz val="10"/>
        <rFont val="Symbol"/>
        <family val="1"/>
        <charset val="2"/>
      </rPr>
      <t>å</t>
    </r>
    <r>
      <rPr>
        <b/>
        <sz val="10"/>
        <rFont val="Calibri"/>
        <family val="2"/>
      </rPr>
      <t xml:space="preserve"> </t>
    </r>
    <r>
      <rPr>
        <b/>
        <sz val="10"/>
        <rFont val="Arial"/>
        <family val="2"/>
      </rPr>
      <t>KF-Bed.</t>
    </r>
  </si>
  <si>
    <t>Tierproduktion</t>
  </si>
  <si>
    <r>
      <rPr>
        <b/>
        <sz val="10"/>
        <rFont val="Symbol"/>
        <family val="1"/>
        <charset val="2"/>
      </rPr>
      <t>å</t>
    </r>
    <r>
      <rPr>
        <b/>
        <sz val="10"/>
        <rFont val="Calibri"/>
        <family val="2"/>
      </rPr>
      <t xml:space="preserve"> </t>
    </r>
    <r>
      <rPr>
        <b/>
        <sz val="10"/>
        <rFont val="Arial"/>
        <family val="2"/>
      </rPr>
      <t>GF-Erz.</t>
    </r>
  </si>
  <si>
    <r>
      <rPr>
        <b/>
        <sz val="10"/>
        <rFont val="Symbol"/>
        <family val="1"/>
        <charset val="2"/>
      </rPr>
      <t>å</t>
    </r>
    <r>
      <rPr>
        <b/>
        <sz val="10"/>
        <rFont val="Calibri"/>
        <family val="2"/>
      </rPr>
      <t xml:space="preserve"> </t>
    </r>
    <r>
      <rPr>
        <b/>
        <sz val="10"/>
        <rFont val="Arial"/>
        <family val="2"/>
      </rPr>
      <t>KF-Erz.</t>
    </r>
  </si>
  <si>
    <t>Pflanzenproduktion</t>
  </si>
  <si>
    <t>Akh
gesamt</t>
  </si>
  <si>
    <t>AKh/
Einheit</t>
  </si>
  <si>
    <t>MJ NEL
gesamt</t>
  </si>
  <si>
    <t>MJ NEL/
Einheit</t>
  </si>
  <si>
    <t>DKFL
gesamt</t>
  </si>
  <si>
    <t>DKFL/
Einheit</t>
  </si>
  <si>
    <t>ha/St.</t>
  </si>
  <si>
    <t>AKh
gesamt</t>
  </si>
  <si>
    <t>dt.
gesamt</t>
  </si>
  <si>
    <t>dt./
Einheit</t>
  </si>
  <si>
    <t>Arbeitszeitbedarf</t>
  </si>
  <si>
    <t>Grundfutterbilanz</t>
  </si>
  <si>
    <t>Direktkostenfreie Leistung</t>
  </si>
  <si>
    <t>Umfang</t>
  </si>
  <si>
    <t>Produktionsverfahren</t>
  </si>
  <si>
    <t>Seite 1</t>
  </si>
  <si>
    <t>Betrieb:</t>
  </si>
  <si>
    <t>Schneller Überblick</t>
  </si>
  <si>
    <t>Datengrundlage "Schneller Überblick"</t>
  </si>
  <si>
    <t>2.1</t>
  </si>
  <si>
    <t>2.2</t>
  </si>
  <si>
    <t>2.3</t>
  </si>
  <si>
    <t xml:space="preserve"> -</t>
  </si>
  <si>
    <t xml:space="preserve">   Basisprämie (Übernahme)</t>
  </si>
  <si>
    <t xml:space="preserve">   Öko-Regelungen (Übernahme)</t>
  </si>
  <si>
    <t xml:space="preserve">   HALM-Förderung (Übernahme)</t>
  </si>
  <si>
    <t>Biogas Mais &amp; GrüRo</t>
  </si>
  <si>
    <t>Qualitätsweizen , niedrig, 2 ha</t>
  </si>
  <si>
    <t>Qualitätsweizen , mittel, 2 ha</t>
  </si>
  <si>
    <t>Qualitätsweizen , hoch, 2 ha</t>
  </si>
  <si>
    <t>Qualitätsweizen , mittel, 5 ha</t>
  </si>
  <si>
    <t>Qualitätsweizen , hoch, 5 ha</t>
  </si>
  <si>
    <t>Qualitätsweizen , mittel, 20 ha</t>
  </si>
  <si>
    <t>Qualitätsweizen , hoch, 20 ha</t>
  </si>
  <si>
    <t>Futterweizen , niedrig, 2 ha</t>
  </si>
  <si>
    <t>Futterweizen , mittel, 2 ha</t>
  </si>
  <si>
    <t>Futterweizen , hoch, 2 ha</t>
  </si>
  <si>
    <t>Futterweizen , mittel, 5 ha</t>
  </si>
  <si>
    <t>Futterweizen , hoch, 5 ha</t>
  </si>
  <si>
    <t>Futterweizen , mittel, 20 ha</t>
  </si>
  <si>
    <t>Futterweizen , hoch, 20 ha</t>
  </si>
  <si>
    <t>Sommerweizen , niedrig, 2 ha</t>
  </si>
  <si>
    <t>Sommerweizen , mittel, 2 ha</t>
  </si>
  <si>
    <t>Sommerweizen , hoch, 2 ha</t>
  </si>
  <si>
    <t>Sommerweizen , mittel, 5 ha</t>
  </si>
  <si>
    <t>Sommerweizen , hoch, 5 ha</t>
  </si>
  <si>
    <t>Sommerweizen , mittel, 20 ha</t>
  </si>
  <si>
    <t>Sommerweizen , hoch, 20 ha</t>
  </si>
  <si>
    <t>Roggen , niedrig, 2 ha</t>
  </si>
  <si>
    <t>Roggen , mittel, 2 ha</t>
  </si>
  <si>
    <t>Roggen , hoch, 2 ha</t>
  </si>
  <si>
    <t>Roggen , mittel, 5 ha</t>
  </si>
  <si>
    <t>Roggen , hoch, 5 ha</t>
  </si>
  <si>
    <t>Roggen , mittel, 20 ha</t>
  </si>
  <si>
    <t>Roggen , hoch, 20 ha</t>
  </si>
  <si>
    <t>Triticale , niedrig, 2 ha</t>
  </si>
  <si>
    <t>Triticale , mittel, 2 ha</t>
  </si>
  <si>
    <t>Triticale , hoch, 2 ha</t>
  </si>
  <si>
    <t>Triticale , mittel, 5 ha</t>
  </si>
  <si>
    <t>Triticale , hoch, 5 ha</t>
  </si>
  <si>
    <t>Wintergerste , niedrig, 2 ha</t>
  </si>
  <si>
    <t>Wintergerste , mittel, 2 ha</t>
  </si>
  <si>
    <t>Wintergerste , hoch, 2 ha</t>
  </si>
  <si>
    <t>Wintergerste , mittel, 5 ha</t>
  </si>
  <si>
    <t>Wintergerste , hoch, 5 ha</t>
  </si>
  <si>
    <t>Wintergerste , mittel, 20 ha</t>
  </si>
  <si>
    <t>Wintergerste , hoch, 20 ha</t>
  </si>
  <si>
    <t>Braugerste , mittel, 2 ha</t>
  </si>
  <si>
    <t>Braugerste , hoch, 2 ha</t>
  </si>
  <si>
    <t>Braugerste , mittel, 5 ha</t>
  </si>
  <si>
    <t>Braugerste , hoch, 5 ha</t>
  </si>
  <si>
    <t>Braugerste , mittel, 20 ha</t>
  </si>
  <si>
    <t>Braugerste , hoch, 20 ha</t>
  </si>
  <si>
    <t>Hafer , mittel, 2 ha</t>
  </si>
  <si>
    <t>Hafer , hoch, 2 ha</t>
  </si>
  <si>
    <t>Hafer , mittel, 5 ha</t>
  </si>
  <si>
    <t>Hafer , hoch, 5 ha</t>
  </si>
  <si>
    <t>Hafer , mittel, 20 ha</t>
  </si>
  <si>
    <t>Hafer , hoch, 20 ha</t>
  </si>
  <si>
    <t>Raps , mittel, 2 ha</t>
  </si>
  <si>
    <t>Raps , hoch, 2 ha</t>
  </si>
  <si>
    <t>Raps , mittel, 5 ha</t>
  </si>
  <si>
    <t>Raps , hoch, 5 ha</t>
  </si>
  <si>
    <t>Raps , mittel, 20 ha</t>
  </si>
  <si>
    <t>Raps , hoch, 20 ha</t>
  </si>
  <si>
    <t>Erbsen , mittel, 2 ha</t>
  </si>
  <si>
    <t>Erbsen , mittel, 5 ha</t>
  </si>
  <si>
    <t>Erbsen , mittel, 20 ha</t>
  </si>
  <si>
    <t>Ackerbohnen , mittel, 2 ha</t>
  </si>
  <si>
    <t>Ackerbohnen , mittel, 5 ha</t>
  </si>
  <si>
    <t>Ackerbohnen , mittel, 20 ha</t>
  </si>
  <si>
    <t>Zuckerrüben , mittel, 2 ha</t>
  </si>
  <si>
    <t>Zuckerrüben , hoch, 2 ha</t>
  </si>
  <si>
    <t>Zuckerrüben , mittel, 5 ha</t>
  </si>
  <si>
    <t>Zuckerrüben , hoch, 5 ha</t>
  </si>
  <si>
    <t>Zuckerrüben , mittel, 20 ha</t>
  </si>
  <si>
    <t>Zuckerrüben , hoch, 20 ha</t>
  </si>
  <si>
    <t>Körnermais , mittel, 2 ha</t>
  </si>
  <si>
    <t>Körnermais , hoch, 2 ha</t>
  </si>
  <si>
    <t>Körnermais , mittel, 5 ha</t>
  </si>
  <si>
    <t>Körnermais , hoch, 5 ha</t>
  </si>
  <si>
    <t>Silomais , niedrig, 2 ha</t>
  </si>
  <si>
    <t>Silomais , mittel, 2 ha</t>
  </si>
  <si>
    <t>Silomais , hoch, 2 ha</t>
  </si>
  <si>
    <t>DKFL</t>
  </si>
  <si>
    <t>Dinkel , bespelzt, 2 ha</t>
  </si>
  <si>
    <t>Dinkel , entspelzt, 2 ha</t>
  </si>
  <si>
    <t>Kartoffeln , DV, 2 ha</t>
  </si>
  <si>
    <t>Kartoffeln , früh, 2 ha</t>
  </si>
  <si>
    <t>Kartoffeln , Stärke, 5 ha</t>
  </si>
  <si>
    <t>Kartoffeln , Stärke, 2 ha</t>
  </si>
  <si>
    <t>Kartoffeln , Speise-, mittel, 2 ha</t>
  </si>
  <si>
    <t>Kartoffeln , Speise-, hoch, 2 ha</t>
  </si>
  <si>
    <t>Biogas Mais, mittel</t>
  </si>
  <si>
    <t>Biogas Mais, hoch</t>
  </si>
  <si>
    <t>Biogas Grünroggen, mittel</t>
  </si>
  <si>
    <t>Biogas Grünroggen, hoch</t>
  </si>
  <si>
    <t>Grünland , extensiv, Silage</t>
  </si>
  <si>
    <t>Grünland , intensiv, Silage</t>
  </si>
  <si>
    <t>Grünland , extensiv, Heu</t>
  </si>
  <si>
    <t>Grünland , intensiv, Heu</t>
  </si>
  <si>
    <t>Grünland , extensiv, Weide</t>
  </si>
  <si>
    <t>Grünland , intensiv, Weide</t>
  </si>
  <si>
    <t>Kleegras (2 J.) , kleebetont</t>
  </si>
  <si>
    <t>Kleegras (2 J.) , grasbetont</t>
  </si>
  <si>
    <t>Grünfutter, einj. Weidelgras</t>
  </si>
  <si>
    <t>Zwischenfrucht, Phacelia, 2 ha</t>
  </si>
  <si>
    <t>Zwischenfrucht, Senf, 2 ha</t>
  </si>
  <si>
    <t>Zwischenfrucht, Ölrettich, 2 ha</t>
  </si>
  <si>
    <t>Zwischenfrucht, B.Maxx, 2 ha</t>
  </si>
  <si>
    <t>Zwischenfrucht, Landsb. Gem., 2 ha</t>
  </si>
  <si>
    <t>Welsches Weidelgras, mittel</t>
  </si>
  <si>
    <t>Welsches Weidelgras, hoch</t>
  </si>
  <si>
    <t xml:space="preserve"> - bitte wählen -</t>
  </si>
  <si>
    <t>Akh/ha</t>
  </si>
  <si>
    <t>MJ NEL</t>
  </si>
  <si>
    <t>Milchkühe 64 Stk. - BoLauSt, 2500 Milch GruFu, 8000 kg/Kuh</t>
  </si>
  <si>
    <t>Milchkühe 64 Stk. - BoLauSt, 3000 Milch GruFu, 8000 kg/Kuh</t>
  </si>
  <si>
    <t>Milchkühe 64 Stk. - BoLauSt, 3000 Milch GruFu, 9000 kg/Kuh</t>
  </si>
  <si>
    <t>Milchkühe 64 Stk. - BoLauSt, 3500 Milch GruFu, 9000 kg/Kuh</t>
  </si>
  <si>
    <t>Milchkühe 64 Stk. - BoLauSt, 3500 Milch GruFu, 10000 kg/Kuh</t>
  </si>
  <si>
    <t>Milchkühe 64 Stk. - BoLauSt, 4000 Milch Grundfutter, 10000 kg/Kuh</t>
  </si>
  <si>
    <t>Milchkühe 128 Stk. - AMS, 2500 Milch GruFu, 8000 kg/Kuh</t>
  </si>
  <si>
    <t>Milchkühe 128 Stk. - AMS, 3000 Milch GruFu, 8000 kg/Kuh</t>
  </si>
  <si>
    <t>Milchkühe 128 Stk. - AMS, 3000 Milch GruFu, 9000 kg/Kuh</t>
  </si>
  <si>
    <t>Milchkühe 128 Stk. - AMS, 3500 Milch GruFu, 9000 kg/Kuh</t>
  </si>
  <si>
    <t>Milchkühe 128 Stk. - AMS, 3500 Milch GruFu, 10000 kg/Kuh</t>
  </si>
  <si>
    <t>Milchkühe 128 Stk. - AMS, 4000 Milch GruFu, 10000 kg/Kuh</t>
  </si>
  <si>
    <t>Mastfärse</t>
  </si>
  <si>
    <t>Mastbullen, Grassilage 35 % TM</t>
  </si>
  <si>
    <t>Mastbullen, Silomas 30 % TM</t>
  </si>
  <si>
    <t>Ochsenmast, 85 - 630 kg</t>
  </si>
  <si>
    <t>Schafe, Hüte-, Winterstall</t>
  </si>
  <si>
    <t>Schafe, Koppel-, Winterstall</t>
  </si>
  <si>
    <t>Schafe, Hüte-, o. Winterstall</t>
  </si>
  <si>
    <t>Pensionspferde, 30 Plätze, Boxenhaltung</t>
  </si>
  <si>
    <t>Pensionspferde, 30 Plätze, Gruppenhaltung</t>
  </si>
  <si>
    <t>Pensionspferde, 30 Plätze, Bewegungsstall</t>
  </si>
  <si>
    <t>Sauenhaltung, konv, 100 Tiere, 24 Ferkel /J.</t>
  </si>
  <si>
    <t>Sauenhaltung, konv, 100 Tiere, 28 Ferkel /J.</t>
  </si>
  <si>
    <t>Sauenhaltung, konv, 100 Tiere, 32 Ferkel /J.</t>
  </si>
  <si>
    <t>Sauenhaltung, konv, 200 Tiere, 24 Ferkel /J.</t>
  </si>
  <si>
    <t>Sauenhaltung, konv, 200 Tiere, 28 Ferkel /J.</t>
  </si>
  <si>
    <t>Sauenhaltung, konv, 200 Tiere, 32 Ferkel /J.</t>
  </si>
  <si>
    <t>Sauenhaltung, separat, 24 Ferkel /J.</t>
  </si>
  <si>
    <t>Sauenhaltung, separat, 28 Ferkel /J.</t>
  </si>
  <si>
    <t>Sauenhaltung, separat, 32 Ferkel /J.</t>
  </si>
  <si>
    <t>Ferkelaufzucht, geschloss. Stall, perf. Boden</t>
  </si>
  <si>
    <t>Mastschweine, 30 kg Ferkel, FV 1:3,0</t>
  </si>
  <si>
    <t>Mastschweine, 30 kg Ferkel, FV 1:2,8</t>
  </si>
  <si>
    <t>Legehennen, Boden, L/M 3:2</t>
  </si>
  <si>
    <t>Legehennen, KleinG, L/M 3:2</t>
  </si>
  <si>
    <t>Legehennen, FreiLa, L/M 3:2</t>
  </si>
  <si>
    <t>Legehennen DirektV, Boden, L/M 3:2</t>
  </si>
  <si>
    <t>Legehennen DirektV, FreiLa, L/M 3:2</t>
  </si>
  <si>
    <t>Masthähnchen, FV 1:1,68</t>
  </si>
  <si>
    <t>Aufzuchtfärse / Kalb, EKA 30 Monate, 10 Tiere, LN: 6000 kg</t>
  </si>
  <si>
    <t>Aufzuchtfärse / Kalb, EKA 30 Monate, 10 Tiere, LN: 8000 kg</t>
  </si>
  <si>
    <t>Aufzuchtfärse / Kalb, EKA 30 Monate, 30 Tiere, LN: 6000 kg</t>
  </si>
  <si>
    <t>Aufzuchtfärse / Kalb, EKA 30 Monate, 30 Tiere, LN: 8000 kg</t>
  </si>
  <si>
    <t>Aufzuchtfärse / Kalb, EKA 27 Monate, 30 Tiere, LN: 6000 kg</t>
  </si>
  <si>
    <t>Aufzuchtfärse / Kalb, EKA 27 Monate, 30 Tiere, LN: 8000 kg</t>
  </si>
  <si>
    <t>Betrieb gibt Kuhmilch oder -milcherzeugnisse ab</t>
  </si>
  <si>
    <t>Tierhaltung (nur Raufutterfresser)</t>
  </si>
  <si>
    <t>RGV</t>
  </si>
  <si>
    <t>Equiden von mehr als 6 Monaten; 1,00 RGV</t>
  </si>
  <si>
    <t>Rinder &lt; 6 Monate; 0,40 RGV</t>
  </si>
  <si>
    <t>RGV Tierkategorie</t>
  </si>
  <si>
    <t>Ackerfläche gesamt (AF)</t>
  </si>
  <si>
    <t xml:space="preserve"> davon Ackerfutter mit Legumiosen</t>
  </si>
  <si>
    <t xml:space="preserve"> davon mit Gras oder Grünfutter</t>
  </si>
  <si>
    <t>Mutterkuh, einmal gekalbt</t>
  </si>
  <si>
    <t>RGV / ha DGL</t>
  </si>
  <si>
    <t>Rinder 6 Monate - 2 Jahre; 0,60 RGV</t>
  </si>
  <si>
    <t>♀Rinder &gt; 2 Jahre, mind. 1x gekalbt; 1,00 RGV</t>
  </si>
  <si>
    <t>Milchkühe &gt; 2 Jahre; 1,00 RGV</t>
  </si>
  <si>
    <t>Mutterkühe &gt; 2 Jahre; 1,00 RGV</t>
  </si>
  <si>
    <t>♂Rinder &gt; 2 Jahre; 1,00 RGV</t>
  </si>
  <si>
    <t>♂Schafe oder Ziegen; 0,15 RGV</t>
  </si>
  <si>
    <t xml:space="preserve"> (Übernahme aus "Öko-Regelungen")</t>
  </si>
  <si>
    <t xml:space="preserve"> (nur wenn auf derselben Fläche!)</t>
  </si>
  <si>
    <t>♀ Schaf / Ziege, älter 10 Monate</t>
  </si>
  <si>
    <t>Fachliche und technische Umsetzung:</t>
  </si>
  <si>
    <t>manuel.fraenzke@llh.hessen.de</t>
  </si>
  <si>
    <t>LLH Beratungskräfte als Ansprechpersonen zur ökonomischen Beratung:</t>
  </si>
  <si>
    <t>Link zu den Kontaktpersonen FG 11</t>
  </si>
  <si>
    <t>Link zu den Kontaktpersonen FG 15</t>
  </si>
  <si>
    <t>Kurzanleitung zum Prämienrechner</t>
  </si>
  <si>
    <t>Wichtiger Hinweis:</t>
  </si>
  <si>
    <t>Erläuterung zu den Eingabefeldern:</t>
  </si>
  <si>
    <t>Plausibilitätsprüfungen:</t>
  </si>
  <si>
    <t>An einigen Stellen des Prämienrechners sind Prüfungsfunktionen eingebaut, die die gemachten Angaben auf ihre Richtigkeit überprüfen. In der jeweiligen Tabelle und auch in der Übersichtstabelle ist ersichtlich, ob eine Plausibilitätsprüfung einen Hinweis oder Fehler ausgegeben hat.</t>
  </si>
  <si>
    <t xml:space="preserve"> (nötig für gekoppelte Tierprämie und ÖR 4)</t>
  </si>
  <si>
    <t>Verrechnung mit HALM 2-Maßnahmen</t>
  </si>
  <si>
    <t>Eingaben in den Prämienrechner können über Auswahlfelder mit Dropdown-Funktion oder Eingabefelder gemacht werden. Letztere erfordern die Eingabe der entsprechenden Zahlenwerte bzw. in sehr wenigen Fällen auch Wörtern.</t>
  </si>
  <si>
    <t>Besondere Landbewirtschaftung in Natura-2000-Gebieten</t>
  </si>
  <si>
    <t>Abzug ÖR 6 Verzicht chem. synth. PSM</t>
  </si>
  <si>
    <t>je ha Blühstreifen/-fläche</t>
  </si>
  <si>
    <t>Verzicht auf chem.-synth. Pflanzenschutzmittel (PSM) auf AF und in DK</t>
  </si>
  <si>
    <t>Naturschutzfachliche Sonderleistungen (NSL) auf DGL</t>
  </si>
  <si>
    <t>noch verteilbare Fläche</t>
  </si>
  <si>
    <t>Ausgleich Transaktionskosten</t>
  </si>
  <si>
    <t>Anmerkung: Der Begriff "Verpflichtungsfläche" bezieht sich hier auf die auszahlbare Verpflichtungsfläche.</t>
  </si>
  <si>
    <t>je Baum ab dem zweiten Verpflichtungsjahr</t>
  </si>
  <si>
    <t>Dauerkulturen (DK)</t>
  </si>
  <si>
    <t>Verfügbare Fläche für NSL</t>
  </si>
  <si>
    <t>GAPAusnV</t>
  </si>
  <si>
    <t>1-3 % DGL</t>
  </si>
  <si>
    <t>4-6 % DGL</t>
  </si>
  <si>
    <t>H.2</t>
  </si>
  <si>
    <t>Arten- und Biotopschutz im Offenland</t>
  </si>
  <si>
    <t>Maßnahmentitel</t>
  </si>
  <si>
    <t>Förderhöhe 
[in €/ha]</t>
  </si>
  <si>
    <t xml:space="preserve"> (Maßnahme 1)</t>
  </si>
  <si>
    <t xml:space="preserve"> (Maßnahme 2)</t>
  </si>
  <si>
    <t xml:space="preserve"> (Maßnahme 3)</t>
  </si>
  <si>
    <t>(Maßnahmentitel und die Förderhöhen bei HALM 2 H.2-Maßnahmen müssen händisch eingetragen werden)</t>
  </si>
  <si>
    <t>Durchschnittliche RGV je ha DGL</t>
  </si>
  <si>
    <t>Durchschnitssbestand</t>
  </si>
  <si>
    <t>Link zu den Kontaktpersonen FG 18</t>
  </si>
  <si>
    <r>
      <t>(</t>
    </r>
    <r>
      <rPr>
        <b/>
        <sz val="14"/>
        <color rgb="FFC00000"/>
        <rFont val="Arial"/>
        <family val="2"/>
      </rPr>
      <t>Achtung: Für die Richtigkeit der Berechnungen kann keine Gewähr übernommen werden.</t>
    </r>
    <r>
      <rPr>
        <b/>
        <sz val="14"/>
        <color theme="1"/>
        <rFont val="Arial"/>
        <family val="2"/>
      </rPr>
      <t>)</t>
    </r>
  </si>
  <si>
    <t>(Achtung: Für die Richtigkeit der Berechnungen kann keine Gewähr übernommen werden.)</t>
  </si>
  <si>
    <t>Berechnung der möglichen Förderung über die Öko-Regelungen (Eco Schemes)</t>
  </si>
  <si>
    <t xml:space="preserve"> (Basierend auf den Eingaben der Tabellenblätter "Basisprämie, "Öko-Regelungen" und "HALM 2")</t>
  </si>
  <si>
    <t>(ganzjährig)</t>
  </si>
  <si>
    <r>
      <t xml:space="preserve">bei der Teilnahme an der </t>
    </r>
    <r>
      <rPr>
        <b/>
        <sz val="10"/>
        <color theme="1"/>
        <rFont val="Arial"/>
        <family val="2"/>
      </rPr>
      <t>Öko-Regelung 4</t>
    </r>
    <r>
      <rPr>
        <sz val="10"/>
        <color theme="1"/>
        <rFont val="Arial"/>
        <family val="2"/>
      </rPr>
      <t xml:space="preserve"> wird der durchschnittliche Viehbesatz des gesamten Jahres betrachtet.</t>
    </r>
  </si>
  <si>
    <t xml:space="preserve">Entwicklung der Grundprämien ab 2023 </t>
  </si>
  <si>
    <t>Einheitsbeträge aus Anlage 4 zu $ 16 Absatz 1 (Stand 22. Januar 2024)</t>
  </si>
  <si>
    <t>je Einheit</t>
  </si>
  <si>
    <t>min./max Flächenanteil der AF und Fördersatz</t>
  </si>
  <si>
    <t>Anbauverpflichtungen</t>
  </si>
  <si>
    <t xml:space="preserve">je ha in A "Großk. Leguminosen" </t>
  </si>
  <si>
    <t xml:space="preserve">je ha in B "Blühende Kulturen" </t>
  </si>
  <si>
    <t xml:space="preserve">je ha in C "Getreidesommerungen" </t>
  </si>
  <si>
    <t xml:space="preserve">je ha in D "Erosionsschutz" </t>
  </si>
  <si>
    <t xml:space="preserve">je ha in E "Humusmehrende Kulturen" </t>
  </si>
  <si>
    <t>Verfügbare Ackerfläche für HALM 2 C.1</t>
  </si>
  <si>
    <t>(Übernahme aus "Öko-Regelungen")</t>
  </si>
  <si>
    <t>Für HALM 2 C.1 genutzt Ackerfläche</t>
  </si>
  <si>
    <t>Teilnahme</t>
  </si>
  <si>
    <t>HALM 2 C.3.2 mehrjährige Blühflächen</t>
  </si>
  <si>
    <t>HALM 2 C.3.3 Erosionsschutzstreifen</t>
  </si>
  <si>
    <t>HALM 2 C.3.5 Ackerwildkrautfläche</t>
  </si>
  <si>
    <t>HALM 2 C.3.6 Gewässerschutzstreifen</t>
  </si>
  <si>
    <t>HALM D.1 alt</t>
  </si>
  <si>
    <t>HALM D.1 neu</t>
  </si>
  <si>
    <t>großK konv (A)</t>
  </si>
  <si>
    <t>großK öko (A)</t>
  </si>
  <si>
    <t>bluehK konv (B)</t>
  </si>
  <si>
    <t>bluehK öko (B)</t>
  </si>
  <si>
    <t>Gsomm konv (C)</t>
  </si>
  <si>
    <t xml:space="preserve">Gsomm öko (C) </t>
  </si>
  <si>
    <t>Eros konv (D)</t>
  </si>
  <si>
    <t>Eros öko (D)</t>
  </si>
  <si>
    <t xml:space="preserve">HumusK konv (E) </t>
  </si>
  <si>
    <t xml:space="preserve">HumusK öko (E) </t>
  </si>
  <si>
    <t>DuengV konv (A)</t>
  </si>
  <si>
    <t>FestM konv (B)</t>
  </si>
  <si>
    <t xml:space="preserve">ErhaltD (C) </t>
  </si>
  <si>
    <t>FestM öko (E)</t>
  </si>
  <si>
    <t>DuengV öko (D)</t>
  </si>
  <si>
    <t>HALM H.1</t>
  </si>
  <si>
    <t>Kat 1 Rind</t>
  </si>
  <si>
    <t>Kat 1 Schaf</t>
  </si>
  <si>
    <t>Kat 1 Schwein</t>
  </si>
  <si>
    <t>Kat 2 SchaZie</t>
  </si>
  <si>
    <t>Kat 3 Pferd</t>
  </si>
  <si>
    <t>je ha NSL Termin Stufe 4</t>
  </si>
  <si>
    <t>je ha NSL Termin Stufe 5</t>
  </si>
  <si>
    <t>je ha NSL Termin Stufe 6</t>
  </si>
  <si>
    <t>je ha NSL Technik Stufe 5</t>
  </si>
  <si>
    <t>je ha NSL Schonflächen Stufe 4</t>
  </si>
  <si>
    <t>je ha NSL SchaZie-Beweidung Stufe 5</t>
  </si>
  <si>
    <t>je ha NSL SchaZie-Beweidung Stufe 6</t>
  </si>
  <si>
    <t>je ha NSL Beweidung Stufe 4</t>
  </si>
  <si>
    <t>je ha NSL Beweidung Stufe 5</t>
  </si>
  <si>
    <t>je ha NSL Gelegeschutz Stufe 4</t>
  </si>
  <si>
    <t>je ha NSL Gelegeschutz Stufe 5</t>
  </si>
  <si>
    <t>je ha NSL Anzahl Nutzungen 1</t>
  </si>
  <si>
    <t>je ha NSL Anzahl Nutzungen 3</t>
  </si>
  <si>
    <t>je ha NSL Anzahl Nutzungen 4</t>
  </si>
  <si>
    <t>je ha NSL Anzahl Nutzungen 5</t>
  </si>
  <si>
    <t>Förderverfahren</t>
  </si>
  <si>
    <t>HALM 2 D.1 neu</t>
  </si>
  <si>
    <t>A Düngeverzicht</t>
  </si>
  <si>
    <t>B Festmistdüngung</t>
  </si>
  <si>
    <t>C Erhaltungsdüngung</t>
  </si>
  <si>
    <t>D Düngeverzicht öko</t>
  </si>
  <si>
    <t>E Festmistdüngung öko</t>
  </si>
  <si>
    <t xml:space="preserve"> (Rt. Höhenvieh, Dt. Schwarzbuntes Niederungsrind, Gelbvieh, Pinzgauer)</t>
  </si>
  <si>
    <t>je förderfähiges Schaf (mind. zehn)</t>
  </si>
  <si>
    <t xml:space="preserve"> (Rhönschaf, Cob. Fuchsschaf, Leineschaf, Schwarzk. Fleischschaf)</t>
  </si>
  <si>
    <t>(Dt. Landrasse, Dt. Edelschwein, Buntes Bentheimer)</t>
  </si>
  <si>
    <t>Kategorie 1 "Fleisch- und Zweinutzung"</t>
  </si>
  <si>
    <t>Kategorie 2 "Milchproduktion"</t>
  </si>
  <si>
    <t>Kategorie 3 "Andere Schwerpunkte"</t>
  </si>
  <si>
    <t xml:space="preserve"> (Ostfr. Milchschaf, W. Dt. Edelziege, Bt. Dt. Edelziege, Th. Waldziege)</t>
  </si>
  <si>
    <t xml:space="preserve"> (Rheinisch Dt. Kaltblut, Schwarzwälder Kaltblut, Beberbecker Pferd)</t>
  </si>
  <si>
    <t>je förderfähiges Schwein (mind. drei)</t>
  </si>
  <si>
    <t>je förderfähiges Pferd (mind. eins)</t>
  </si>
  <si>
    <t>HALM 2 D.1 2024</t>
  </si>
  <si>
    <t>HALM 2 D.1 2023</t>
  </si>
  <si>
    <t>H.3</t>
  </si>
  <si>
    <t>Biodiversitäts-Plus auf Grünland</t>
  </si>
  <si>
    <t>H.3A</t>
  </si>
  <si>
    <t>Tierschonende Mahd</t>
  </si>
  <si>
    <t>je ha gepflegtes Dauergrünland</t>
  </si>
  <si>
    <t>verfügbare Dauergrünlandfläche</t>
  </si>
  <si>
    <t>Umverteilungsprämie (1 - 40 ha LF)</t>
  </si>
  <si>
    <t>Umverteilungsprämie (41 - 60 ha LF)</t>
  </si>
  <si>
    <t>Agrarumwelt- und Klimaschutzmaßnahmen (HALM 2)</t>
  </si>
  <si>
    <t>H.3.A</t>
  </si>
  <si>
    <t>Biodiversitäts-Plus auf Grünland (Tierschonende Mahd)</t>
  </si>
  <si>
    <t>HALM 2-Förderung gesamt</t>
  </si>
  <si>
    <t>Vielfältige Kulturen im Ackerbau (Aufbauverpflichtung zur ÖR 2)</t>
  </si>
  <si>
    <t xml:space="preserve"> (für Förderverfahren D und E)</t>
  </si>
  <si>
    <t>E.2.2</t>
  </si>
  <si>
    <t>Hinweis</t>
  </si>
  <si>
    <r>
      <t xml:space="preserve">Die berechneten Werte stellen die Prämiensummen nach der zum Zeitpunkte der Erstellung bekannten Rechtslage dar. Die enthaltenen Fördersätze der ersten Säule (Flächenprämie, Junglandwirteprämie, gekoppelte Tierprämien und Umverteilungsprämie) sowie der zweiten Säule (HALM 2) können Änderungen oder Anpassungen unterliegen, die gegebenenfalls im Prämienrechner noch nicht berücksichtigt worden sein könnten. Daher stellen die ausgewiesenen Beträge nur Orientierungswerte dar und haben keine Rechtsverbindlichkeit. </t>
    </r>
    <r>
      <rPr>
        <b/>
        <sz val="10"/>
        <color theme="1"/>
        <rFont val="Arial"/>
        <family val="2"/>
      </rPr>
      <t>Ein Haftungsanspruch gegenüber dem LLH wird ausgeschlossen.</t>
    </r>
  </si>
  <si>
    <t>Grünlandextensivierung</t>
  </si>
  <si>
    <t>D.1 Altverpflichtung 2023</t>
  </si>
  <si>
    <t>(Verpflichtungen aus 2023 und 2024)</t>
  </si>
  <si>
    <t>(unterschiedliche Föderverfahren dem Flächenumfang zuordnen)</t>
  </si>
  <si>
    <t xml:space="preserve">D.1 </t>
  </si>
  <si>
    <t>je ha NSL SchaZie-Beweidung Stufe 2</t>
  </si>
  <si>
    <t>je ha NSL Beweidung Stufe 2</t>
  </si>
  <si>
    <t>je ha NSL Gelegeschutz Stufe 1</t>
  </si>
  <si>
    <t>nur Altverpflichtung!</t>
  </si>
  <si>
    <r>
      <t>je ha NSL SchaZie-Beweidung Stufe 2</t>
    </r>
    <r>
      <rPr>
        <b/>
        <sz val="11"/>
        <color theme="1"/>
        <rFont val="Arial"/>
        <family val="2"/>
      </rPr>
      <t>*</t>
    </r>
  </si>
  <si>
    <r>
      <t>je ha NSL Beweidung Stufe 2</t>
    </r>
    <r>
      <rPr>
        <b/>
        <sz val="11"/>
        <color theme="1"/>
        <rFont val="Arial"/>
        <family val="2"/>
      </rPr>
      <t>*</t>
    </r>
  </si>
  <si>
    <r>
      <t>je ha NSL Gelegeschutz Stufe 1</t>
    </r>
    <r>
      <rPr>
        <b/>
        <sz val="11"/>
        <color theme="1"/>
        <rFont val="Arial"/>
        <family val="2"/>
      </rPr>
      <t>*</t>
    </r>
  </si>
  <si>
    <t>* nur in Kombination mit einer HALM 2 D.1 Altverpflichtung</t>
  </si>
  <si>
    <t>Teilnahme an HALM 2 D.1alt oder HALM 2 D.1 ab 2024</t>
  </si>
  <si>
    <t>♀Schafe oder Ziegen ≥ 10 Monate inkl. Lämmer; 0,15 RGV</t>
  </si>
  <si>
    <r>
      <t xml:space="preserve"> (Einfluss auf die Förderhöhe je ha; </t>
    </r>
    <r>
      <rPr>
        <b/>
        <sz val="9"/>
        <color theme="1"/>
        <rFont val="Arial"/>
        <family val="2"/>
      </rPr>
      <t>Bitte beachten:</t>
    </r>
    <r>
      <rPr>
        <sz val="9"/>
        <color theme="1"/>
        <rFont val="Arial"/>
        <family val="2"/>
      </rPr>
      <t xml:space="preserve"> nur bei Erstbeantragung von HALM 2 B.1 seit 2023)</t>
    </r>
  </si>
  <si>
    <t xml:space="preserve"> (Ackerfläche abzüglich Brachen)</t>
  </si>
  <si>
    <t xml:space="preserve"> (nur wenn auf derselben Fläche und nur NSL "Schonflächen"!)</t>
  </si>
  <si>
    <t>1 % AF</t>
  </si>
  <si>
    <t>bis 1% AF od. 1 ha</t>
  </si>
  <si>
    <t>Bei Auswahl der Jahre 2023 und 2024 wird mit den abgerundeten tatsächlichen Einheitsbeträgen gerechnet, die sich aus dem Antragsvolumen in 2023 und 2024 ergaben. Die tatsächlichen Einheitsbeiträge wurden in den jeweiligen im Bundesanzeigern veröffentlicht.</t>
  </si>
  <si>
    <t>Damwild</t>
  </si>
  <si>
    <t>Rotwild</t>
  </si>
  <si>
    <r>
      <rPr>
        <b/>
        <sz val="9"/>
        <color theme="1"/>
        <rFont val="Arial"/>
        <family val="2"/>
      </rPr>
      <t>FG 11</t>
    </r>
    <r>
      <rPr>
        <sz val="9"/>
        <color theme="1"/>
        <rFont val="Arial"/>
        <family val="2"/>
      </rPr>
      <t xml:space="preserve"> - Beratungsteam Ökonomie und Verfahrenstechnik</t>
    </r>
  </si>
  <si>
    <r>
      <rPr>
        <b/>
        <sz val="9"/>
        <color theme="1"/>
        <rFont val="Arial"/>
        <family val="2"/>
      </rPr>
      <t>FG 15</t>
    </r>
    <r>
      <rPr>
        <sz val="9"/>
        <color theme="1"/>
        <rFont val="Arial"/>
        <family val="2"/>
      </rPr>
      <t xml:space="preserve"> - Beratungsteam Ökologischer Landbau</t>
    </r>
  </si>
  <si>
    <r>
      <rPr>
        <b/>
        <sz val="9"/>
        <rFont val="Arial"/>
        <family val="2"/>
      </rPr>
      <t>FG 18</t>
    </r>
    <r>
      <rPr>
        <sz val="9"/>
        <rFont val="Arial"/>
        <family val="2"/>
      </rPr>
      <t xml:space="preserve"> - Beratungsteam Biodiversität</t>
    </r>
  </si>
  <si>
    <r>
      <rPr>
        <b/>
        <sz val="9"/>
        <rFont val="Arial"/>
        <family val="2"/>
      </rPr>
      <t>FG 33</t>
    </r>
    <r>
      <rPr>
        <sz val="9"/>
        <rFont val="Arial"/>
        <family val="2"/>
      </rPr>
      <t xml:space="preserve"> - Fachinformation Pflanzenproduktion</t>
    </r>
  </si>
  <si>
    <t>Der Prämienrechner wurde mit dem Ziel entwickelt, einen ersten Überblick über die Förderung ab 2025 zu gewähren und sie den Folgenjahren gegenüberzustellen. Die Inhalte orientieren sich an den aktuell bekannten Inhalten und Rechtslagen. Es kann nicht ausgeschlossen werden, dass sich in der Zwischenzeit eine andere Rechtslage ergeben hat.</t>
  </si>
  <si>
    <t>Eingaben von den vorherigen Seiten (wie Wirtschaftsform oder Flächenangaben) werden auf die Folgeseiten übernommen. Zur Betrachtung der Jahre nach 2025 kann auf der Seite "Basisprämie" die Jahreszahl im Feld C40 angepasst werden. Diese Auswahl hat aber nur Auswirkungen auf die Förderhöhe der Mittel über die erste Säule ("Basisprämie" und "Öko-Regelungen") und orientiert sich an den zum Erstellungszeitpunkt bekannten Werten.</t>
  </si>
  <si>
    <t xml:space="preserve"> (optional)</t>
  </si>
  <si>
    <t>Freiwillige Brachflächen</t>
  </si>
  <si>
    <t>bis 1% DGL od. 1 ha</t>
  </si>
  <si>
    <t>sonstige Stilllegungen ohne ÖR 1a</t>
  </si>
  <si>
    <t>Brachen (ÖR 1a &amp; sonstige)</t>
  </si>
  <si>
    <t>Abzug ÖR 1a Freiwillige Brachflächen</t>
  </si>
  <si>
    <t>(Übernahme aus "Basisprämie")</t>
  </si>
  <si>
    <t>je förderfähiges Schaf /Ziege (mind. fünf)</t>
  </si>
  <si>
    <t>Sichere Schaf- und Ziegenbeweidung</t>
  </si>
  <si>
    <t>je ha umzäunte Verpflichtungsfläche</t>
  </si>
  <si>
    <t>HALM H.3A</t>
  </si>
  <si>
    <t>HALM H.2 SB</t>
  </si>
  <si>
    <t>Weidetierschutzmaßnahmen</t>
  </si>
  <si>
    <t>H.2.SB</t>
  </si>
  <si>
    <t>Weidetierschutz - Förderung laufender Betriebsausgaben</t>
  </si>
  <si>
    <t>Summe der HALM 2-Förderung ab 2025</t>
  </si>
  <si>
    <t>je km mobile und wolfsabweisende Zäune</t>
  </si>
  <si>
    <t>je km feststehender Elektrozaun</t>
  </si>
  <si>
    <t>je gehaltenen  Herdenschutzhund</t>
  </si>
  <si>
    <t>HALM Weidetierschutz</t>
  </si>
  <si>
    <t>feststehende Elektrozäune</t>
  </si>
  <si>
    <t>Herdenschutzhund</t>
  </si>
  <si>
    <t>beweidete Fläche im aktuellen Jahr</t>
  </si>
  <si>
    <t>mob. und wolfsab Zäune SchaZie</t>
  </si>
  <si>
    <t>mob. und wolfsab Zäune Rinder, Pferde Hausesel</t>
  </si>
  <si>
    <t xml:space="preserve"> (Schafe und Ziegen)</t>
  </si>
  <si>
    <t>durchschnittliche Förderung je beweide Fläche</t>
  </si>
  <si>
    <t xml:space="preserve">max. 8 % AF </t>
  </si>
  <si>
    <t>3-8 % AF</t>
  </si>
  <si>
    <t>WTS</t>
  </si>
  <si>
    <t xml:space="preserve"> davon sonstige Ackerbrachen</t>
  </si>
  <si>
    <r>
      <t xml:space="preserve"> (optional; </t>
    </r>
    <r>
      <rPr>
        <b/>
        <vertAlign val="superscript"/>
        <sz val="11"/>
        <color theme="1"/>
        <rFont val="Arial"/>
        <family val="2"/>
      </rPr>
      <t>ohne Öko-Regelung 1a</t>
    </r>
    <r>
      <rPr>
        <vertAlign val="superscript"/>
        <sz val="11"/>
        <color theme="1"/>
        <rFont val="Arial"/>
        <family val="2"/>
      </rPr>
      <t>)</t>
    </r>
  </si>
  <si>
    <t>je zusätzliches &amp; förderfähiges Vatertier</t>
  </si>
  <si>
    <t>Abzug sonstige Ackerbrache (ohne ÖR 1a)</t>
  </si>
  <si>
    <t>Berechnte Fördersummen des gewählten Jahres</t>
  </si>
  <si>
    <t xml:space="preserve"> (Rinder &amp; Equiden Widerrist max. 112 cm od. &lt; 1 Jahr; Gatterwild, Alpakas und Lamas)</t>
  </si>
  <si>
    <t xml:space="preserve"> (Schafe und Ziegen mit vereinfachtem Verwendungsnachweis)</t>
  </si>
  <si>
    <t>mob. und wolfsab Zäune SchaZie, vereinfacht</t>
  </si>
  <si>
    <t>ab 2026</t>
  </si>
  <si>
    <t>Version: 5.0    Stand: 12. März 2026</t>
  </si>
  <si>
    <t>Ansprechpersonen: Reinhard Schmidt, Marcel Phieler, Sandra Höbel</t>
  </si>
  <si>
    <t>Aus den Angaben berechnete Direktzahlungen im Jahr 2026</t>
  </si>
  <si>
    <t>Berechnung der möglichen Basisprämie ab 2026</t>
  </si>
  <si>
    <t>Auswahl der Öko-Regelungen (Eco Schemes) in 2026</t>
  </si>
  <si>
    <t>Berechnung der möglichen HALM 2-Förderung in 2026</t>
  </si>
  <si>
    <t>HALM 2 (ab 2026)</t>
  </si>
  <si>
    <t>Berechnung der möglichen Förderung aus der erste und zweite Säule in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</si>
</sst>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0">
    <numFmt numFmtId="7" formatCode="#,##0.00\ &quot;€&quot;;\-#,##0.00\ &quot;€&quot;"/>
    <numFmt numFmtId="44" formatCode="_-* #,##0.00\ &quot;€&quot;_-;\-* #,##0.00\ &quot;€&quot;_-;_-* &quot;-&quot;??\ &quot;€&quot;_-;_-@_-"/>
    <numFmt numFmtId="164" formatCode="_-* #,##0.00\ _€_-;\-* #,##0.00\ _€_-;_-* &quot;-&quot;??\ _€_-;_-@_-"/>
    <numFmt numFmtId="165" formatCode="#,##0.00\ &quot;€&quot;"/>
    <numFmt numFmtId="166" formatCode="#,##0\ \ ;\-\ #,##0\ \ "/>
    <numFmt numFmtId="167" formatCode="_-* #,##0.00\ &quot;DM&quot;_-;\-* #,##0.00\ &quot;DM&quot;_-;_-* &quot;-&quot;??\ &quot;DM&quot;_-;_-@_-"/>
    <numFmt numFmtId="168" formatCode="#,##0.00_ ;\-#,##0.00\ "/>
    <numFmt numFmtId="169" formatCode="0.0"/>
    <numFmt numFmtId="170" formatCode="0.0\ &quot;ha&quot;"/>
    <numFmt numFmtId="171" formatCode="0.0\ &quot;€/ha&quot;"/>
    <numFmt numFmtId="172" formatCode="0\ &quot;€/ha&quot;"/>
    <numFmt numFmtId="173" formatCode="0\ &quot;€/Jahr&quot;"/>
    <numFmt numFmtId="174" formatCode="#,##0\ &quot;€&quot;"/>
    <numFmt numFmtId="175" formatCode="0.000\ &quot;ha&quot;"/>
    <numFmt numFmtId="176" formatCode="#,##0\ _);\-#,##0\ _)"/>
    <numFmt numFmtId="177" formatCode="#,##0\ ;\-\ #,##0\ "/>
    <numFmt numFmtId="178" formatCode="#,##0\ ;\-#,##0\ "/>
    <numFmt numFmtId="179" formatCode="#,##0.0\ ;\-\ #,##0.0\ "/>
    <numFmt numFmtId="180" formatCode="#,##0.00\ ;\-\ #,##0.00\ "/>
    <numFmt numFmtId="181" formatCode="0.000"/>
    <numFmt numFmtId="182" formatCode="#,##0.000_ ;\-#,##0.000\ "/>
    <numFmt numFmtId="183" formatCode="#,##0.000__;\-\ #,##0.000__"/>
    <numFmt numFmtId="184" formatCode="#,##0.00\ &quot;€&quot;\ "/>
    <numFmt numFmtId="185" formatCode="#,##0\ "/>
    <numFmt numFmtId="186" formatCode="0.0000\ &quot;ha&quot;"/>
    <numFmt numFmtId="187" formatCode="0\ &quot;€/km&quot;"/>
    <numFmt numFmtId="188" formatCode="0\ &quot;€/Tier&quot;"/>
    <numFmt numFmtId="189" formatCode="#,##0\ &quot;€/km&quot;"/>
    <numFmt numFmtId="190" formatCode="#,##0\ &quot;€/Tier&quot;"/>
    <numFmt numFmtId="191" formatCode="0.000\ &quot;km&quot;"/>
  </numFmts>
  <fonts count="60" x14ac:knownFonts="1">
    <font>
      <sz val="11"/>
      <color theme="1"/>
      <name val="Arial"/>
      <family val="2"/>
    </font>
    <font>
      <b/>
      <sz val="11"/>
      <color theme="1"/>
      <name val="Arial"/>
      <family val="2"/>
    </font>
    <font>
      <sz val="11"/>
      <color rgb="FFFF0000"/>
      <name val="Arial"/>
      <family val="2"/>
    </font>
    <font>
      <b/>
      <sz val="11"/>
      <color rgb="FFFF0000"/>
      <name val="Arial"/>
      <family val="2"/>
    </font>
    <font>
      <sz val="11"/>
      <name val="Arial"/>
      <family val="2"/>
    </font>
    <font>
      <b/>
      <sz val="11"/>
      <name val="Arial"/>
      <family val="2"/>
    </font>
    <font>
      <sz val="10"/>
      <color theme="1"/>
      <name val="Arial"/>
      <family val="2"/>
    </font>
    <font>
      <b/>
      <sz val="16"/>
      <color theme="1"/>
      <name val="Arial"/>
      <family val="2"/>
    </font>
    <font>
      <b/>
      <sz val="20"/>
      <color theme="1"/>
      <name val="Arial"/>
      <family val="2"/>
    </font>
    <font>
      <sz val="9"/>
      <color theme="1"/>
      <name val="Arial"/>
      <family val="2"/>
    </font>
    <font>
      <b/>
      <sz val="14"/>
      <color theme="1"/>
      <name val="Arial"/>
      <family val="2"/>
    </font>
    <font>
      <sz val="14"/>
      <color theme="1"/>
      <name val="Arial"/>
      <family val="2"/>
    </font>
    <font>
      <sz val="10"/>
      <name val="Arial"/>
      <family val="2"/>
    </font>
    <font>
      <b/>
      <sz val="14"/>
      <name val="Arial"/>
      <family val="2"/>
    </font>
    <font>
      <b/>
      <sz val="12"/>
      <name val="Arial"/>
      <family val="2"/>
    </font>
    <font>
      <sz val="12"/>
      <name val="Arial"/>
      <family val="2"/>
    </font>
    <font>
      <sz val="10"/>
      <color indexed="9"/>
      <name val="Arial"/>
      <family val="2"/>
    </font>
    <font>
      <sz val="9"/>
      <name val="Arial"/>
      <family val="2"/>
    </font>
    <font>
      <sz val="12"/>
      <color theme="1"/>
      <name val="Arial"/>
      <family val="2"/>
    </font>
    <font>
      <b/>
      <sz val="12"/>
      <color theme="1"/>
      <name val="Arial"/>
      <family val="2"/>
    </font>
    <font>
      <sz val="8"/>
      <color theme="1"/>
      <name val="Arial"/>
      <family val="2"/>
    </font>
    <font>
      <b/>
      <sz val="10"/>
      <color rgb="FFFF0000"/>
      <name val="Arial"/>
      <family val="2"/>
    </font>
    <font>
      <sz val="13"/>
      <color theme="1"/>
      <name val="Arial"/>
      <family val="2"/>
    </font>
    <font>
      <b/>
      <sz val="11"/>
      <color rgb="FFC00000"/>
      <name val="Arial"/>
      <family val="2"/>
    </font>
    <font>
      <sz val="11"/>
      <color rgb="FFC00000"/>
      <name val="Arial"/>
      <family val="2"/>
    </font>
    <font>
      <b/>
      <sz val="13"/>
      <color theme="1"/>
      <name val="Arial"/>
      <family val="2"/>
    </font>
    <font>
      <b/>
      <sz val="12.5"/>
      <color theme="1"/>
      <name val="Arial"/>
      <family val="2"/>
    </font>
    <font>
      <b/>
      <sz val="14"/>
      <color rgb="FFC00000"/>
      <name val="Arial"/>
      <family val="2"/>
    </font>
    <font>
      <sz val="9"/>
      <color rgb="FFFF0000"/>
      <name val="Arial"/>
      <family val="2"/>
    </font>
    <font>
      <b/>
      <sz val="16"/>
      <name val="Arial"/>
      <family val="2"/>
    </font>
    <font>
      <sz val="12"/>
      <color rgb="FFFF0000"/>
      <name val="Arial"/>
      <family val="2"/>
    </font>
    <font>
      <sz val="10"/>
      <name val="Arial"/>
      <family val="2"/>
    </font>
    <font>
      <sz val="8"/>
      <name val="Arial"/>
      <family val="2"/>
    </font>
    <font>
      <b/>
      <sz val="10"/>
      <name val="Arial"/>
      <family val="2"/>
    </font>
    <font>
      <b/>
      <sz val="10"/>
      <name val="Symbol"/>
      <family val="1"/>
      <charset val="2"/>
    </font>
    <font>
      <b/>
      <sz val="10"/>
      <name val="Calibri"/>
      <family val="2"/>
    </font>
    <font>
      <b/>
      <sz val="10"/>
      <name val="Arial"/>
      <family val="2"/>
    </font>
    <font>
      <sz val="10.5"/>
      <color theme="1"/>
      <name val="Arial"/>
      <family val="2"/>
    </font>
    <font>
      <b/>
      <sz val="10"/>
      <color rgb="FFC00000"/>
      <name val="Arial"/>
      <family val="2"/>
    </font>
    <font>
      <sz val="10"/>
      <color rgb="FFC00000"/>
      <name val="Arial"/>
      <family val="2"/>
    </font>
    <font>
      <b/>
      <sz val="9"/>
      <color theme="1"/>
      <name val="Arial"/>
      <family val="2"/>
    </font>
    <font>
      <u/>
      <sz val="11"/>
      <color theme="10"/>
      <name val="Arial"/>
      <family val="2"/>
    </font>
    <font>
      <u/>
      <sz val="9"/>
      <color theme="10"/>
      <name val="Arial"/>
      <family val="2"/>
    </font>
    <font>
      <u/>
      <sz val="8"/>
      <color theme="10"/>
      <name val="Arial"/>
      <family val="2"/>
    </font>
    <font>
      <u/>
      <sz val="9"/>
      <color theme="1"/>
      <name val="Arial"/>
      <family val="2"/>
    </font>
    <font>
      <b/>
      <u/>
      <sz val="9"/>
      <color rgb="FFC00000"/>
      <name val="Arial"/>
      <family val="2"/>
    </font>
    <font>
      <u/>
      <sz val="9"/>
      <name val="Arial"/>
      <family val="2"/>
    </font>
    <font>
      <b/>
      <sz val="10"/>
      <color theme="1"/>
      <name val="Arial"/>
      <family val="2"/>
    </font>
    <font>
      <i/>
      <sz val="11"/>
      <color theme="1"/>
      <name val="Arial"/>
      <family val="2"/>
    </font>
    <font>
      <b/>
      <sz val="9"/>
      <color rgb="FFC00000"/>
      <name val="Arial"/>
      <family val="2"/>
    </font>
    <font>
      <sz val="11"/>
      <color theme="9" tint="-0.499984740745262"/>
      <name val="Arial"/>
      <family val="2"/>
    </font>
    <font>
      <sz val="11"/>
      <color theme="0"/>
      <name val="Arial"/>
      <family val="2"/>
    </font>
    <font>
      <b/>
      <u/>
      <sz val="11"/>
      <color theme="1"/>
      <name val="Arial"/>
      <family val="2"/>
    </font>
    <font>
      <strike/>
      <sz val="11"/>
      <color theme="1"/>
      <name val="Arial"/>
      <family val="2"/>
    </font>
    <font>
      <sz val="11"/>
      <color theme="1"/>
      <name val="Arial"/>
      <family val="2"/>
    </font>
    <font>
      <b/>
      <i/>
      <u/>
      <sz val="11"/>
      <color rgb="FFC00000"/>
      <name val="Arial"/>
      <family val="2"/>
    </font>
    <font>
      <b/>
      <sz val="9"/>
      <name val="Arial"/>
      <family val="2"/>
    </font>
    <font>
      <vertAlign val="superscript"/>
      <sz val="11"/>
      <color theme="1"/>
      <name val="Arial"/>
      <family val="2"/>
    </font>
    <font>
      <b/>
      <vertAlign val="superscript"/>
      <sz val="11"/>
      <color theme="1"/>
      <name val="Arial"/>
      <family val="2"/>
    </font>
    <font>
      <u/>
      <sz val="10"/>
      <color theme="10"/>
      <name val="Arial"/>
      <family val="2"/>
    </font>
  </fonts>
  <fills count="14">
    <fill>
      <patternFill patternType="none"/>
    </fill>
    <fill>
      <patternFill patternType="gray125"/>
    </fill>
    <fill>
      <patternFill patternType="solid">
        <fgColor theme="4" tint="0.79998168889431442"/>
        <bgColor indexed="64"/>
      </patternFill>
    </fill>
    <fill>
      <patternFill patternType="solid">
        <fgColor indexed="8"/>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5" tint="0.59999389629810485"/>
        <bgColor indexed="64"/>
      </patternFill>
    </fill>
    <fill>
      <patternFill patternType="solid">
        <fgColor theme="0" tint="-0.14999847407452621"/>
        <bgColor indexed="64"/>
      </patternFill>
    </fill>
    <fill>
      <patternFill patternType="solid">
        <fgColor theme="1"/>
        <bgColor indexed="64"/>
      </patternFill>
    </fill>
    <fill>
      <patternFill patternType="solid">
        <fgColor theme="0"/>
        <bgColor indexed="64"/>
      </patternFill>
    </fill>
    <fill>
      <patternFill patternType="solid">
        <fgColor indexed="26"/>
        <bgColor indexed="64"/>
      </patternFill>
    </fill>
    <fill>
      <patternFill patternType="solid">
        <fgColor rgb="FFFFFFCC"/>
        <bgColor indexed="64"/>
      </patternFill>
    </fill>
    <fill>
      <patternFill patternType="solid">
        <fgColor theme="0" tint="-0.24994659260841701"/>
        <bgColor indexed="64"/>
      </patternFill>
    </fill>
    <fill>
      <patternFill patternType="solid">
        <fgColor rgb="FFFFFF00"/>
        <bgColor indexed="64"/>
      </patternFill>
    </fill>
  </fills>
  <borders count="93">
    <border>
      <left/>
      <right/>
      <top/>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style="medium">
        <color indexed="64"/>
      </right>
      <top/>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double">
        <color auto="1"/>
      </left>
      <right/>
      <top/>
      <bottom style="medium">
        <color indexed="64"/>
      </bottom>
      <diagonal/>
    </border>
    <border>
      <left/>
      <right style="double">
        <color auto="1"/>
      </right>
      <top/>
      <bottom style="medium">
        <color indexed="64"/>
      </bottom>
      <diagonal/>
    </border>
    <border>
      <left style="thin">
        <color auto="1"/>
      </left>
      <right style="thin">
        <color auto="1"/>
      </right>
      <top/>
      <bottom style="double">
        <color auto="1"/>
      </bottom>
      <diagonal/>
    </border>
    <border>
      <left/>
      <right style="thin">
        <color indexed="64"/>
      </right>
      <top/>
      <bottom style="double">
        <color auto="1"/>
      </bottom>
      <diagonal/>
    </border>
    <border>
      <left/>
      <right style="thin">
        <color indexed="64"/>
      </right>
      <top style="double">
        <color auto="1"/>
      </top>
      <bottom/>
      <diagonal/>
    </border>
    <border>
      <left style="double">
        <color auto="1"/>
      </left>
      <right style="thin">
        <color indexed="64"/>
      </right>
      <top/>
      <bottom/>
      <diagonal/>
    </border>
    <border>
      <left style="double">
        <color auto="1"/>
      </left>
      <right style="thin">
        <color indexed="64"/>
      </right>
      <top/>
      <bottom style="double">
        <color auto="1"/>
      </bottom>
      <diagonal/>
    </border>
    <border>
      <left style="thin">
        <color indexed="64"/>
      </left>
      <right style="thin">
        <color indexed="64"/>
      </right>
      <top style="medium">
        <color indexed="64"/>
      </top>
      <bottom/>
      <diagonal/>
    </border>
    <border>
      <left style="medium">
        <color indexed="64"/>
      </left>
      <right style="double">
        <color auto="1"/>
      </right>
      <top style="medium">
        <color indexed="64"/>
      </top>
      <bottom style="medium">
        <color indexed="64"/>
      </bottom>
      <diagonal/>
    </border>
    <border>
      <left style="thin">
        <color indexed="64"/>
      </left>
      <right style="double">
        <color auto="1"/>
      </right>
      <top style="medium">
        <color indexed="64"/>
      </top>
      <bottom/>
      <diagonal/>
    </border>
    <border>
      <left style="thin">
        <color indexed="64"/>
      </left>
      <right style="double">
        <color auto="1"/>
      </right>
      <top/>
      <bottom/>
      <diagonal/>
    </border>
    <border>
      <left style="double">
        <color auto="1"/>
      </left>
      <right style="thin">
        <color indexed="64"/>
      </right>
      <top style="double">
        <color auto="1"/>
      </top>
      <bottom/>
      <diagonal/>
    </border>
    <border>
      <left/>
      <right/>
      <top style="medium">
        <color indexed="64"/>
      </top>
      <bottom/>
      <diagonal/>
    </border>
    <border>
      <left style="medium">
        <color indexed="64"/>
      </left>
      <right style="double">
        <color auto="1"/>
      </right>
      <top/>
      <bottom/>
      <diagonal/>
    </border>
    <border>
      <left/>
      <right style="double">
        <color auto="1"/>
      </right>
      <top/>
      <bottom style="thin">
        <color indexed="64"/>
      </bottom>
      <diagonal/>
    </border>
    <border>
      <left/>
      <right style="double">
        <color auto="1"/>
      </right>
      <top style="medium">
        <color indexed="64"/>
      </top>
      <bottom style="medium">
        <color indexed="64"/>
      </bottom>
      <diagonal/>
    </border>
    <border>
      <left/>
      <right style="double">
        <color auto="1"/>
      </right>
      <top style="medium">
        <color indexed="64"/>
      </top>
      <bottom/>
      <diagonal/>
    </border>
    <border>
      <left/>
      <right style="double">
        <color auto="1"/>
      </right>
      <top style="thin">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medium">
        <color indexed="64"/>
      </right>
      <top style="medium">
        <color indexed="64"/>
      </top>
      <bottom style="double">
        <color auto="1"/>
      </bottom>
      <diagonal/>
    </border>
    <border>
      <left style="medium">
        <color indexed="64"/>
      </left>
      <right/>
      <top/>
      <bottom style="double">
        <color auto="1"/>
      </bottom>
      <diagonal/>
    </border>
    <border>
      <left style="thin">
        <color auto="1"/>
      </left>
      <right/>
      <top style="double">
        <color auto="1"/>
      </top>
      <bottom style="thin">
        <color indexed="64"/>
      </bottom>
      <diagonal/>
    </border>
    <border>
      <left/>
      <right style="thin">
        <color auto="1"/>
      </right>
      <top style="double">
        <color auto="1"/>
      </top>
      <bottom style="thin">
        <color indexed="64"/>
      </bottom>
      <diagonal/>
    </border>
    <border>
      <left/>
      <right style="medium">
        <color indexed="64"/>
      </right>
      <top style="medium">
        <color indexed="64"/>
      </top>
      <bottom/>
      <diagonal/>
    </border>
    <border>
      <left/>
      <right style="medium">
        <color indexed="64"/>
      </right>
      <top/>
      <bottom style="double">
        <color auto="1"/>
      </bottom>
      <diagonal/>
    </border>
    <border>
      <left style="medium">
        <color indexed="64"/>
      </left>
      <right/>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style="dashed">
        <color indexed="64"/>
      </top>
      <bottom/>
      <diagonal/>
    </border>
    <border>
      <left style="medium">
        <color indexed="64"/>
      </left>
      <right style="thin">
        <color indexed="64"/>
      </right>
      <top style="thin">
        <color indexed="64"/>
      </top>
      <bottom/>
      <diagonal/>
    </border>
  </borders>
  <cellStyleXfs count="10">
    <xf numFmtId="0" fontId="0" fillId="0" borderId="0"/>
    <xf numFmtId="0" fontId="12" fillId="0" borderId="0"/>
    <xf numFmtId="0" fontId="16" fillId="3" borderId="27" applyNumberFormat="0" applyFill="0" applyBorder="0" applyProtection="0"/>
    <xf numFmtId="167" fontId="12" fillId="0" borderId="0" applyFont="0" applyFill="0" applyBorder="0" applyAlignment="0" applyProtection="0"/>
    <xf numFmtId="164" fontId="12" fillId="0" borderId="0" applyFont="0" applyFill="0" applyBorder="0" applyAlignment="0" applyProtection="0"/>
    <xf numFmtId="0" fontId="31" fillId="0" borderId="0"/>
    <xf numFmtId="164" fontId="31" fillId="0" borderId="0" applyFont="0" applyFill="0" applyBorder="0" applyAlignment="0" applyProtection="0"/>
    <xf numFmtId="167" fontId="31" fillId="0" borderId="0" applyFont="0" applyFill="0" applyBorder="0" applyAlignment="0" applyProtection="0"/>
    <xf numFmtId="0" fontId="41" fillId="0" borderId="0" applyNumberFormat="0" applyFill="0" applyBorder="0" applyAlignment="0" applyProtection="0"/>
    <xf numFmtId="44" fontId="54" fillId="0" borderId="0" applyFont="0" applyFill="0" applyBorder="0" applyAlignment="0" applyProtection="0"/>
  </cellStyleXfs>
  <cellXfs count="839">
    <xf numFmtId="0" fontId="0" fillId="0" borderId="0" xfId="0"/>
    <xf numFmtId="0" fontId="1" fillId="0" borderId="0" xfId="0" applyFont="1"/>
    <xf numFmtId="0" fontId="2" fillId="0" borderId="0" xfId="0" applyFont="1"/>
    <xf numFmtId="0" fontId="7" fillId="0" borderId="0" xfId="0" applyFont="1"/>
    <xf numFmtId="0" fontId="0" fillId="2" borderId="0" xfId="0" applyFill="1" applyBorder="1"/>
    <xf numFmtId="0" fontId="9" fillId="2" borderId="0" xfId="0" applyFont="1" applyFill="1" applyBorder="1"/>
    <xf numFmtId="0" fontId="0" fillId="0" borderId="0" xfId="0" applyAlignment="1">
      <alignment vertical="center"/>
    </xf>
    <xf numFmtId="0" fontId="0" fillId="0" borderId="0" xfId="0" applyBorder="1" applyAlignment="1">
      <alignment vertical="center"/>
    </xf>
    <xf numFmtId="0" fontId="1" fillId="0" borderId="0" xfId="0" applyFont="1" applyAlignment="1">
      <alignment vertical="center"/>
    </xf>
    <xf numFmtId="0" fontId="0" fillId="0" borderId="0" xfId="0" applyFill="1" applyBorder="1" applyAlignment="1">
      <alignment vertical="center"/>
    </xf>
    <xf numFmtId="0" fontId="0" fillId="0" borderId="0" xfId="0" applyFill="1" applyBorder="1" applyAlignment="1">
      <alignment horizontal="centerContinuous" vertical="center"/>
    </xf>
    <xf numFmtId="1" fontId="3" fillId="0" borderId="0" xfId="0" applyNumberFormat="1" applyFont="1" applyFill="1" applyBorder="1" applyAlignment="1">
      <alignment vertical="center"/>
    </xf>
    <xf numFmtId="166" fontId="4" fillId="0" borderId="0" xfId="0" applyNumberFormat="1" applyFont="1" applyFill="1" applyBorder="1" applyAlignment="1">
      <alignment vertical="center"/>
    </xf>
    <xf numFmtId="0" fontId="0" fillId="0" borderId="0" xfId="0" applyFont="1"/>
    <xf numFmtId="0" fontId="0" fillId="0" borderId="0" xfId="0" applyFill="1" applyBorder="1"/>
    <xf numFmtId="0" fontId="1" fillId="0" borderId="0" xfId="0" applyFont="1" applyFill="1" applyBorder="1" applyAlignment="1">
      <alignment vertical="center"/>
    </xf>
    <xf numFmtId="0" fontId="0" fillId="0" borderId="0" xfId="0" applyFont="1" applyFill="1" applyBorder="1" applyAlignment="1">
      <alignment vertical="center"/>
    </xf>
    <xf numFmtId="0" fontId="19" fillId="0" borderId="0" xfId="0" applyFont="1" applyFill="1" applyBorder="1" applyAlignment="1">
      <alignment vertical="center"/>
    </xf>
    <xf numFmtId="0" fontId="0" fillId="0" borderId="0" xfId="0" applyFill="1" applyBorder="1" applyAlignment="1">
      <alignment horizontal="center" vertical="center"/>
    </xf>
    <xf numFmtId="0" fontId="1" fillId="0" borderId="0" xfId="0" applyFont="1" applyFill="1" applyBorder="1" applyAlignment="1">
      <alignment horizontal="center" vertical="center"/>
    </xf>
    <xf numFmtId="0" fontId="8" fillId="0" borderId="0" xfId="0" applyFont="1" applyAlignment="1">
      <alignment vertical="center"/>
    </xf>
    <xf numFmtId="0" fontId="0" fillId="0" borderId="43" xfId="0" applyBorder="1" applyAlignment="1">
      <alignment vertical="center"/>
    </xf>
    <xf numFmtId="0" fontId="0" fillId="0" borderId="44" xfId="0" applyBorder="1" applyAlignment="1">
      <alignment vertical="center"/>
    </xf>
    <xf numFmtId="0" fontId="0" fillId="0" borderId="45" xfId="0" applyBorder="1" applyAlignment="1">
      <alignment vertical="center"/>
    </xf>
    <xf numFmtId="0" fontId="0" fillId="0" borderId="46" xfId="0" applyBorder="1" applyAlignment="1">
      <alignment vertical="center"/>
    </xf>
    <xf numFmtId="0" fontId="0" fillId="0" borderId="47" xfId="0" applyBorder="1" applyAlignment="1">
      <alignment vertical="center"/>
    </xf>
    <xf numFmtId="0" fontId="0" fillId="0" borderId="0" xfId="0" applyBorder="1"/>
    <xf numFmtId="0" fontId="0" fillId="0" borderId="49" xfId="0" applyBorder="1"/>
    <xf numFmtId="0" fontId="0" fillId="0" borderId="49" xfId="0" applyBorder="1" applyAlignment="1">
      <alignment vertical="center"/>
    </xf>
    <xf numFmtId="0" fontId="19" fillId="0" borderId="43" xfId="0" applyFont="1" applyBorder="1" applyAlignment="1">
      <alignment vertical="center"/>
    </xf>
    <xf numFmtId="0" fontId="1" fillId="0" borderId="46" xfId="0" applyFont="1" applyBorder="1" applyAlignment="1">
      <alignment vertical="center"/>
    </xf>
    <xf numFmtId="0" fontId="0" fillId="0" borderId="46" xfId="0" applyFont="1" applyBorder="1" applyAlignment="1">
      <alignment vertical="center"/>
    </xf>
    <xf numFmtId="0" fontId="0" fillId="0" borderId="48" xfId="0" applyFont="1" applyBorder="1" applyAlignment="1">
      <alignment vertical="center"/>
    </xf>
    <xf numFmtId="0" fontId="1" fillId="0" borderId="43" xfId="0" applyFont="1" applyFill="1" applyBorder="1" applyAlignment="1">
      <alignment vertical="center"/>
    </xf>
    <xf numFmtId="0" fontId="0" fillId="0" borderId="44" xfId="0" applyFill="1" applyBorder="1" applyAlignment="1">
      <alignment vertical="center"/>
    </xf>
    <xf numFmtId="0" fontId="0" fillId="0" borderId="44" xfId="0" applyBorder="1"/>
    <xf numFmtId="0" fontId="1" fillId="0" borderId="44" xfId="0" applyFont="1" applyFill="1" applyBorder="1" applyAlignment="1">
      <alignment vertical="center"/>
    </xf>
    <xf numFmtId="0" fontId="0" fillId="0" borderId="45" xfId="0" applyFill="1" applyBorder="1" applyAlignment="1">
      <alignment vertical="center"/>
    </xf>
    <xf numFmtId="0" fontId="0" fillId="0" borderId="46" xfId="0" applyFont="1" applyFill="1" applyBorder="1" applyAlignment="1">
      <alignment vertical="center"/>
    </xf>
    <xf numFmtId="0" fontId="0" fillId="0" borderId="46" xfId="0" applyFill="1" applyBorder="1" applyAlignment="1">
      <alignment vertical="center"/>
    </xf>
    <xf numFmtId="0" fontId="0" fillId="0" borderId="47" xfId="0" applyFill="1" applyBorder="1" applyAlignment="1">
      <alignment vertical="center"/>
    </xf>
    <xf numFmtId="0" fontId="0" fillId="0" borderId="49" xfId="0" applyFill="1" applyBorder="1" applyAlignment="1">
      <alignment vertical="center"/>
    </xf>
    <xf numFmtId="0" fontId="0" fillId="0" borderId="50" xfId="0" applyFill="1" applyBorder="1" applyAlignment="1">
      <alignment vertical="center"/>
    </xf>
    <xf numFmtId="166" fontId="17" fillId="0" borderId="0" xfId="0" applyNumberFormat="1" applyFont="1" applyFill="1" applyBorder="1" applyAlignment="1">
      <alignment vertical="center"/>
    </xf>
    <xf numFmtId="166" fontId="17" fillId="0" borderId="0" xfId="0" applyNumberFormat="1" applyFont="1" applyFill="1" applyBorder="1" applyAlignment="1">
      <alignment horizontal="left" vertical="center"/>
    </xf>
    <xf numFmtId="0" fontId="0" fillId="0" borderId="51" xfId="0" applyBorder="1" applyAlignment="1">
      <alignment vertical="center"/>
    </xf>
    <xf numFmtId="0" fontId="0" fillId="0" borderId="11" xfId="0" applyBorder="1" applyAlignment="1">
      <alignment vertical="center"/>
    </xf>
    <xf numFmtId="0" fontId="0" fillId="0" borderId="11" xfId="0" applyBorder="1" applyAlignment="1">
      <alignment horizontal="center" vertical="center"/>
    </xf>
    <xf numFmtId="0" fontId="0" fillId="0" borderId="1" xfId="0" applyBorder="1" applyAlignment="1">
      <alignment vertical="center"/>
    </xf>
    <xf numFmtId="0" fontId="0" fillId="0" borderId="53" xfId="0" applyBorder="1" applyAlignment="1">
      <alignment vertical="center"/>
    </xf>
    <xf numFmtId="0" fontId="1" fillId="0" borderId="11" xfId="0" applyFont="1" applyBorder="1" applyAlignment="1">
      <alignment horizontal="center" vertical="center"/>
    </xf>
    <xf numFmtId="0" fontId="1" fillId="0" borderId="52" xfId="0" applyFont="1" applyBorder="1" applyAlignment="1">
      <alignment horizontal="center" vertical="center"/>
    </xf>
    <xf numFmtId="0" fontId="1" fillId="0" borderId="56" xfId="0" applyFont="1" applyBorder="1" applyAlignment="1">
      <alignment vertical="center"/>
    </xf>
    <xf numFmtId="0" fontId="9" fillId="0" borderId="56" xfId="0" applyFont="1" applyBorder="1" applyAlignment="1">
      <alignment vertical="center"/>
    </xf>
    <xf numFmtId="0" fontId="0" fillId="0" borderId="56" xfId="0" applyBorder="1" applyAlignment="1">
      <alignment vertical="center"/>
    </xf>
    <xf numFmtId="0" fontId="0" fillId="0" borderId="56" xfId="0" applyBorder="1" applyAlignment="1">
      <alignment horizontal="right" vertical="center"/>
    </xf>
    <xf numFmtId="0" fontId="0" fillId="0" borderId="57" xfId="0" applyBorder="1" applyAlignment="1">
      <alignment horizontal="right" vertical="center"/>
    </xf>
    <xf numFmtId="0" fontId="21" fillId="0" borderId="0" xfId="0" applyFont="1" applyBorder="1" applyAlignment="1">
      <alignment textRotation="60"/>
    </xf>
    <xf numFmtId="0" fontId="0" fillId="7" borderId="1" xfId="0" applyFill="1" applyBorder="1" applyAlignment="1">
      <alignment vertical="center"/>
    </xf>
    <xf numFmtId="0" fontId="0" fillId="7" borderId="56" xfId="0" applyFill="1" applyBorder="1" applyAlignment="1">
      <alignment vertical="center"/>
    </xf>
    <xf numFmtId="0" fontId="0" fillId="0" borderId="55" xfId="0" applyBorder="1" applyAlignment="1">
      <alignment vertical="center"/>
    </xf>
    <xf numFmtId="0" fontId="11" fillId="0" borderId="54" xfId="0" applyFont="1" applyBorder="1" applyAlignment="1">
      <alignment horizontal="center" vertical="center"/>
    </xf>
    <xf numFmtId="0" fontId="10" fillId="0" borderId="0" xfId="0" applyFont="1" applyAlignment="1">
      <alignment vertical="center"/>
    </xf>
    <xf numFmtId="0" fontId="20" fillId="0" borderId="46" xfId="0" applyFont="1" applyFill="1" applyBorder="1" applyAlignment="1">
      <alignment vertical="center"/>
    </xf>
    <xf numFmtId="3" fontId="18" fillId="0" borderId="0" xfId="0" applyNumberFormat="1" applyFont="1" applyFill="1" applyBorder="1" applyAlignment="1">
      <alignment horizontal="center" vertical="center"/>
    </xf>
    <xf numFmtId="168" fontId="5" fillId="0" borderId="49" xfId="0" applyNumberFormat="1" applyFont="1" applyFill="1" applyBorder="1" applyAlignment="1">
      <alignment horizontal="right" vertical="center"/>
    </xf>
    <xf numFmtId="0" fontId="21" fillId="0" borderId="49" xfId="0" applyFont="1" applyBorder="1" applyAlignment="1">
      <alignment textRotation="60"/>
    </xf>
    <xf numFmtId="166" fontId="4" fillId="0" borderId="49" xfId="0" applyNumberFormat="1" applyFont="1" applyFill="1" applyBorder="1" applyAlignment="1">
      <alignment vertical="center"/>
    </xf>
    <xf numFmtId="0" fontId="20" fillId="0" borderId="0" xfId="0" applyFont="1" applyFill="1" applyBorder="1" applyAlignment="1">
      <alignment vertical="center"/>
    </xf>
    <xf numFmtId="0" fontId="0" fillId="0" borderId="46" xfId="0" applyFill="1" applyBorder="1"/>
    <xf numFmtId="0" fontId="0" fillId="0" borderId="48" xfId="0" applyFill="1" applyBorder="1"/>
    <xf numFmtId="0" fontId="10" fillId="0" borderId="0" xfId="0" applyFont="1" applyFill="1" applyBorder="1" applyAlignment="1">
      <alignment horizontal="center" vertical="center"/>
    </xf>
    <xf numFmtId="0" fontId="1" fillId="0" borderId="0" xfId="0" applyFont="1" applyFill="1" applyBorder="1" applyAlignment="1">
      <alignment horizontal="center" vertical="center"/>
    </xf>
    <xf numFmtId="0" fontId="0" fillId="0" borderId="0" xfId="0" applyFill="1" applyBorder="1" applyAlignment="1">
      <alignment horizontal="center" vertical="center"/>
    </xf>
    <xf numFmtId="0" fontId="1" fillId="0" borderId="27" xfId="0" applyFont="1" applyFill="1" applyBorder="1" applyAlignment="1">
      <alignment vertical="center"/>
    </xf>
    <xf numFmtId="165" fontId="11" fillId="0" borderId="0" xfId="0" applyNumberFormat="1" applyFont="1" applyFill="1" applyBorder="1" applyAlignment="1">
      <alignment horizontal="center" vertical="center"/>
    </xf>
    <xf numFmtId="0" fontId="10" fillId="0" borderId="0" xfId="0" applyFont="1" applyFill="1" applyBorder="1" applyAlignment="1">
      <alignment vertical="center"/>
    </xf>
    <xf numFmtId="0" fontId="23" fillId="0" borderId="0" xfId="0" applyFont="1" applyFill="1" applyBorder="1" applyAlignment="1">
      <alignment horizontal="center" vertical="center"/>
    </xf>
    <xf numFmtId="0" fontId="6" fillId="0" borderId="0" xfId="0" applyFont="1" applyFill="1" applyBorder="1" applyAlignment="1">
      <alignment horizontal="center" vertical="center"/>
    </xf>
    <xf numFmtId="3" fontId="0" fillId="0" borderId="0" xfId="0" applyNumberFormat="1" applyFont="1" applyFill="1" applyBorder="1" applyAlignment="1">
      <alignment horizontal="center" vertical="center"/>
    </xf>
    <xf numFmtId="171" fontId="0" fillId="0" borderId="0" xfId="0" applyNumberFormat="1" applyFont="1" applyFill="1" applyBorder="1" applyAlignment="1">
      <alignment horizontal="center" vertical="center"/>
    </xf>
    <xf numFmtId="170" fontId="23" fillId="0" borderId="0" xfId="0" applyNumberFormat="1" applyFont="1" applyFill="1" applyBorder="1" applyAlignment="1">
      <alignment horizontal="center" vertical="center"/>
    </xf>
    <xf numFmtId="165" fontId="11" fillId="0" borderId="0" xfId="0" applyNumberFormat="1" applyFont="1" applyFill="1" applyBorder="1" applyAlignment="1">
      <alignment vertical="center"/>
    </xf>
    <xf numFmtId="0" fontId="19" fillId="0" borderId="43" xfId="0" applyFont="1" applyBorder="1"/>
    <xf numFmtId="0" fontId="0" fillId="0" borderId="44" xfId="0" applyFill="1" applyBorder="1"/>
    <xf numFmtId="0" fontId="0" fillId="0" borderId="47" xfId="0" applyBorder="1"/>
    <xf numFmtId="0" fontId="1" fillId="0" borderId="47" xfId="0" applyFont="1" applyFill="1" applyBorder="1" applyAlignment="1">
      <alignment horizontal="center" vertical="center"/>
    </xf>
    <xf numFmtId="3" fontId="18" fillId="0" borderId="47" xfId="0" applyNumberFormat="1" applyFont="1" applyFill="1" applyBorder="1" applyAlignment="1">
      <alignment horizontal="center" vertical="center"/>
    </xf>
    <xf numFmtId="0" fontId="0" fillId="0" borderId="46" xfId="0" applyBorder="1" applyAlignment="1">
      <alignment horizontal="center" vertical="center"/>
    </xf>
    <xf numFmtId="0" fontId="0" fillId="0" borderId="46" xfId="0" applyBorder="1"/>
    <xf numFmtId="169" fontId="22" fillId="0" borderId="47" xfId="0" applyNumberFormat="1" applyFont="1" applyFill="1" applyBorder="1" applyAlignment="1"/>
    <xf numFmtId="0" fontId="0" fillId="8" borderId="46" xfId="0" applyFill="1" applyBorder="1"/>
    <xf numFmtId="0" fontId="0" fillId="8" borderId="0" xfId="0" applyFill="1" applyBorder="1"/>
    <xf numFmtId="0" fontId="11" fillId="8" borderId="0" xfId="0" applyFont="1" applyFill="1" applyBorder="1" applyAlignment="1">
      <alignment vertical="center"/>
    </xf>
    <xf numFmtId="0" fontId="11" fillId="8" borderId="0" xfId="0" applyFont="1" applyFill="1" applyBorder="1" applyAlignment="1">
      <alignment horizontal="center" vertical="center"/>
    </xf>
    <xf numFmtId="165" fontId="11" fillId="8" borderId="0" xfId="0" applyNumberFormat="1" applyFont="1" applyFill="1" applyBorder="1" applyAlignment="1">
      <alignment vertical="center"/>
    </xf>
    <xf numFmtId="165" fontId="11" fillId="8" borderId="0" xfId="0" applyNumberFormat="1" applyFont="1" applyFill="1" applyBorder="1" applyAlignment="1">
      <alignment horizontal="center" vertical="center"/>
    </xf>
    <xf numFmtId="0" fontId="19" fillId="0" borderId="0" xfId="0" applyFont="1"/>
    <xf numFmtId="0" fontId="24" fillId="0" borderId="0" xfId="0" applyFont="1"/>
    <xf numFmtId="172" fontId="0" fillId="0" borderId="0" xfId="0" applyNumberFormat="1"/>
    <xf numFmtId="171" fontId="0" fillId="0" borderId="0" xfId="0" applyNumberFormat="1"/>
    <xf numFmtId="170" fontId="0" fillId="0" borderId="27" xfId="0" applyNumberFormat="1" applyBorder="1" applyAlignment="1">
      <alignment horizontal="center" vertical="center"/>
    </xf>
    <xf numFmtId="165" fontId="0" fillId="0" borderId="27" xfId="0" applyNumberFormat="1" applyBorder="1"/>
    <xf numFmtId="0" fontId="0" fillId="0" borderId="0" xfId="0" applyAlignment="1">
      <alignment horizontal="right"/>
    </xf>
    <xf numFmtId="0" fontId="1" fillId="0" borderId="0" xfId="0" applyFont="1" applyBorder="1" applyAlignment="1">
      <alignment wrapText="1"/>
    </xf>
    <xf numFmtId="0" fontId="0" fillId="0" borderId="0" xfId="0" applyNumberFormat="1"/>
    <xf numFmtId="174" fontId="0" fillId="0" borderId="0" xfId="0" applyNumberFormat="1"/>
    <xf numFmtId="165" fontId="0" fillId="0" borderId="0" xfId="0" applyNumberFormat="1" applyBorder="1"/>
    <xf numFmtId="0" fontId="0" fillId="0" borderId="0" xfId="0" applyFill="1"/>
    <xf numFmtId="0" fontId="1" fillId="0" borderId="0" xfId="0" applyFont="1" applyBorder="1" applyAlignment="1">
      <alignment horizontal="left" wrapText="1"/>
    </xf>
    <xf numFmtId="0" fontId="1" fillId="0" borderId="47" xfId="0" applyFont="1" applyBorder="1" applyAlignment="1">
      <alignment horizontal="center" vertical="center"/>
    </xf>
    <xf numFmtId="0" fontId="0" fillId="0" borderId="0" xfId="0" applyBorder="1" applyAlignment="1">
      <alignment horizontal="center" vertical="center"/>
    </xf>
    <xf numFmtId="0" fontId="1" fillId="0" borderId="0" xfId="0" applyFont="1" applyBorder="1" applyAlignment="1">
      <alignment horizontal="left" vertical="center" wrapText="1"/>
    </xf>
    <xf numFmtId="0" fontId="27" fillId="0" borderId="0" xfId="0" applyFont="1" applyAlignment="1">
      <alignment vertical="center"/>
    </xf>
    <xf numFmtId="165" fontId="0" fillId="0" borderId="27" xfId="0" applyNumberFormat="1" applyBorder="1" applyAlignment="1">
      <alignment horizontal="center"/>
    </xf>
    <xf numFmtId="0" fontId="0" fillId="0" borderId="0" xfId="0" applyBorder="1" applyAlignment="1"/>
    <xf numFmtId="0" fontId="0" fillId="0" borderId="11" xfId="0" applyBorder="1"/>
    <xf numFmtId="0" fontId="0" fillId="0" borderId="43" xfId="0" applyBorder="1"/>
    <xf numFmtId="0" fontId="0" fillId="0" borderId="47" xfId="0" applyBorder="1" applyAlignment="1">
      <alignment horizontal="center" vertical="center"/>
    </xf>
    <xf numFmtId="0" fontId="19" fillId="0" borderId="46" xfId="0" applyFont="1" applyBorder="1"/>
    <xf numFmtId="174" fontId="0" fillId="0" borderId="0" xfId="0" applyNumberFormat="1" applyBorder="1" applyAlignment="1">
      <alignment horizontal="center" vertical="center"/>
    </xf>
    <xf numFmtId="174" fontId="0" fillId="0" borderId="0" xfId="0" applyNumberFormat="1" applyBorder="1" applyAlignment="1">
      <alignment horizontal="center"/>
    </xf>
    <xf numFmtId="0" fontId="1" fillId="0" borderId="0" xfId="0" applyFont="1" applyBorder="1" applyAlignment="1">
      <alignment vertical="center"/>
    </xf>
    <xf numFmtId="165" fontId="1" fillId="0" borderId="0" xfId="0" applyNumberFormat="1" applyFont="1" applyBorder="1" applyAlignment="1">
      <alignment vertical="center"/>
    </xf>
    <xf numFmtId="174" fontId="1" fillId="0" borderId="0" xfId="0" applyNumberFormat="1" applyFont="1" applyBorder="1" applyAlignment="1">
      <alignment horizontal="center" vertical="center"/>
    </xf>
    <xf numFmtId="0" fontId="0" fillId="0" borderId="51" xfId="0" applyBorder="1"/>
    <xf numFmtId="174" fontId="0" fillId="0" borderId="11" xfId="0" applyNumberFormat="1" applyBorder="1" applyAlignment="1">
      <alignment horizontal="center" vertical="center"/>
    </xf>
    <xf numFmtId="0" fontId="0" fillId="0" borderId="51" xfId="0" applyBorder="1" applyAlignment="1">
      <alignment horizontal="center" vertical="center"/>
    </xf>
    <xf numFmtId="0" fontId="10" fillId="0" borderId="48" xfId="0" applyFont="1" applyBorder="1" applyAlignment="1">
      <alignment vertical="center"/>
    </xf>
    <xf numFmtId="165" fontId="10" fillId="0" borderId="49" xfId="0" applyNumberFormat="1" applyFont="1" applyBorder="1" applyAlignment="1">
      <alignment vertical="center"/>
    </xf>
    <xf numFmtId="0" fontId="1" fillId="0" borderId="0" xfId="0" applyFont="1" applyBorder="1" applyAlignment="1">
      <alignment horizontal="center" vertical="center"/>
    </xf>
    <xf numFmtId="165" fontId="0" fillId="0" borderId="0" xfId="0" applyNumberFormat="1" applyBorder="1" applyAlignment="1">
      <alignment horizontal="center" vertical="center"/>
    </xf>
    <xf numFmtId="175" fontId="0" fillId="0" borderId="27" xfId="0" applyNumberFormat="1" applyFill="1" applyBorder="1" applyAlignment="1">
      <alignment horizontal="center"/>
    </xf>
    <xf numFmtId="175" fontId="0" fillId="0" borderId="27" xfId="0" applyNumberFormat="1" applyBorder="1" applyAlignment="1">
      <alignment horizontal="center" vertical="center"/>
    </xf>
    <xf numFmtId="3" fontId="18" fillId="0" borderId="47" xfId="0" applyNumberFormat="1" applyFont="1" applyFill="1" applyBorder="1" applyAlignment="1">
      <alignment vertical="center"/>
    </xf>
    <xf numFmtId="0" fontId="9" fillId="0" borderId="5" xfId="0" applyFont="1" applyFill="1" applyBorder="1" applyAlignment="1">
      <alignment vertical="center"/>
    </xf>
    <xf numFmtId="0" fontId="0" fillId="0" borderId="2" xfId="0" applyFill="1" applyBorder="1"/>
    <xf numFmtId="0" fontId="9" fillId="0" borderId="6" xfId="0" applyFont="1" applyFill="1" applyBorder="1" applyAlignment="1">
      <alignment vertical="center"/>
    </xf>
    <xf numFmtId="0" fontId="0" fillId="0" borderId="2" xfId="0" applyFill="1" applyBorder="1" applyAlignment="1">
      <alignment horizontal="right" vertical="center"/>
    </xf>
    <xf numFmtId="0" fontId="0" fillId="0" borderId="6" xfId="0" applyFill="1" applyBorder="1" applyAlignment="1">
      <alignment vertical="center"/>
    </xf>
    <xf numFmtId="0" fontId="0" fillId="0" borderId="2" xfId="0" applyBorder="1" applyAlignment="1">
      <alignment horizontal="right" vertical="center"/>
    </xf>
    <xf numFmtId="0" fontId="1" fillId="0" borderId="2" xfId="0" applyFont="1" applyBorder="1" applyAlignment="1">
      <alignment horizontal="center" vertical="center"/>
    </xf>
    <xf numFmtId="0" fontId="1" fillId="0" borderId="6" xfId="0" applyFont="1" applyBorder="1" applyAlignment="1">
      <alignment horizontal="left" vertical="center" wrapText="1"/>
    </xf>
    <xf numFmtId="0" fontId="1" fillId="0" borderId="6" xfId="0" applyFont="1" applyFill="1" applyBorder="1" applyAlignment="1">
      <alignment vertical="center"/>
    </xf>
    <xf numFmtId="0" fontId="0" fillId="0" borderId="2" xfId="0" applyBorder="1" applyAlignment="1">
      <alignment horizontal="center" vertical="center"/>
    </xf>
    <xf numFmtId="0" fontId="1" fillId="0" borderId="6" xfId="0" applyFont="1" applyBorder="1" applyAlignment="1">
      <alignment horizontal="left" wrapText="1"/>
    </xf>
    <xf numFmtId="0" fontId="1" fillId="0" borderId="2" xfId="0" applyFont="1" applyBorder="1" applyAlignment="1">
      <alignment horizontal="center" vertical="center" wrapText="1"/>
    </xf>
    <xf numFmtId="0" fontId="0" fillId="0" borderId="6" xfId="0" applyFill="1" applyBorder="1" applyAlignment="1">
      <alignment horizontal="right" vertical="center"/>
    </xf>
    <xf numFmtId="0" fontId="0" fillId="0" borderId="7" xfId="0" applyBorder="1"/>
    <xf numFmtId="0" fontId="0" fillId="0" borderId="8" xfId="0" applyBorder="1"/>
    <xf numFmtId="0" fontId="11" fillId="0" borderId="9" xfId="0" applyFont="1" applyFill="1" applyBorder="1" applyAlignment="1">
      <alignment vertical="center"/>
    </xf>
    <xf numFmtId="0" fontId="0" fillId="0" borderId="7" xfId="0" applyBorder="1" applyAlignment="1">
      <alignment horizontal="right" vertical="center"/>
    </xf>
    <xf numFmtId="0" fontId="0" fillId="0" borderId="9" xfId="0" applyFill="1" applyBorder="1" applyAlignment="1">
      <alignment vertical="center"/>
    </xf>
    <xf numFmtId="0" fontId="0" fillId="0" borderId="8" xfId="0" applyFill="1" applyBorder="1" applyAlignment="1">
      <alignment vertical="center"/>
    </xf>
    <xf numFmtId="170" fontId="0" fillId="0" borderId="8" xfId="0" applyNumberFormat="1" applyFill="1" applyBorder="1" applyAlignment="1">
      <alignment horizontal="center" vertical="center"/>
    </xf>
    <xf numFmtId="0" fontId="1" fillId="0" borderId="8" xfId="0" applyFont="1" applyFill="1" applyBorder="1" applyAlignment="1">
      <alignment horizontal="center" vertical="center"/>
    </xf>
    <xf numFmtId="0" fontId="0" fillId="0" borderId="8" xfId="0" applyFill="1" applyBorder="1" applyAlignment="1">
      <alignment horizontal="center" vertical="center"/>
    </xf>
    <xf numFmtId="0" fontId="1" fillId="0" borderId="65" xfId="0" applyFont="1" applyFill="1" applyBorder="1" applyAlignment="1">
      <alignment horizontal="center" vertical="center"/>
    </xf>
    <xf numFmtId="0" fontId="1" fillId="0" borderId="7" xfId="0" applyFont="1" applyBorder="1" applyAlignment="1">
      <alignment horizontal="center" vertical="center"/>
    </xf>
    <xf numFmtId="0" fontId="1" fillId="0" borderId="8" xfId="0" applyFont="1" applyBorder="1" applyAlignment="1">
      <alignment horizontal="left" vertical="center"/>
    </xf>
    <xf numFmtId="0" fontId="1" fillId="0" borderId="9" xfId="0" applyFont="1" applyBorder="1" applyAlignment="1">
      <alignment horizontal="left" vertical="center"/>
    </xf>
    <xf numFmtId="0" fontId="6" fillId="0" borderId="8" xfId="0" applyFont="1" applyFill="1" applyBorder="1" applyAlignment="1">
      <alignment horizontal="center" vertical="center"/>
    </xf>
    <xf numFmtId="3" fontId="0" fillId="0" borderId="8" xfId="0" applyNumberFormat="1" applyFont="1" applyFill="1" applyBorder="1" applyAlignment="1">
      <alignment horizontal="center" vertical="center"/>
    </xf>
    <xf numFmtId="3" fontId="18" fillId="0" borderId="8" xfId="0" applyNumberFormat="1" applyFont="1" applyFill="1" applyBorder="1" applyAlignment="1">
      <alignment horizontal="center" vertical="center"/>
    </xf>
    <xf numFmtId="3" fontId="18" fillId="0" borderId="65" xfId="0" applyNumberFormat="1" applyFont="1" applyFill="1" applyBorder="1" applyAlignment="1">
      <alignment vertical="center"/>
    </xf>
    <xf numFmtId="0" fontId="1" fillId="0" borderId="9" xfId="0" applyFont="1" applyFill="1" applyBorder="1" applyAlignment="1">
      <alignment vertical="center"/>
    </xf>
    <xf numFmtId="3" fontId="18" fillId="0" borderId="65" xfId="0" applyNumberFormat="1" applyFont="1" applyFill="1" applyBorder="1" applyAlignment="1">
      <alignment horizontal="center" vertical="center"/>
    </xf>
    <xf numFmtId="0" fontId="1" fillId="0" borderId="8" xfId="0" applyFont="1" applyBorder="1" applyAlignment="1">
      <alignment horizontal="left" wrapText="1"/>
    </xf>
    <xf numFmtId="0" fontId="1" fillId="0" borderId="9" xfId="0" applyFont="1" applyBorder="1" applyAlignment="1">
      <alignment horizontal="left" wrapText="1"/>
    </xf>
    <xf numFmtId="0" fontId="0" fillId="0" borderId="8" xfId="0" applyBorder="1" applyAlignment="1">
      <alignment horizontal="center" vertical="center"/>
    </xf>
    <xf numFmtId="170" fontId="23" fillId="0" borderId="8" xfId="0" applyNumberFormat="1" applyFont="1" applyFill="1" applyBorder="1" applyAlignment="1">
      <alignment horizontal="center" vertical="center"/>
    </xf>
    <xf numFmtId="171" fontId="0" fillId="0" borderId="8" xfId="0" applyNumberFormat="1" applyFont="1" applyFill="1" applyBorder="1" applyAlignment="1">
      <alignment horizontal="center" vertical="center"/>
    </xf>
    <xf numFmtId="0" fontId="1" fillId="0" borderId="7" xfId="0" applyFont="1" applyBorder="1" applyAlignment="1">
      <alignment horizontal="center" vertical="center" wrapText="1"/>
    </xf>
    <xf numFmtId="0" fontId="0" fillId="0" borderId="7" xfId="0" applyBorder="1" applyAlignment="1">
      <alignment horizontal="center" vertical="center"/>
    </xf>
    <xf numFmtId="0" fontId="0" fillId="0" borderId="9" xfId="0" applyFill="1" applyBorder="1" applyAlignment="1">
      <alignment horizontal="right" vertical="center"/>
    </xf>
    <xf numFmtId="0" fontId="0" fillId="0" borderId="15" xfId="0" applyBorder="1"/>
    <xf numFmtId="0" fontId="0" fillId="0" borderId="30" xfId="0" applyBorder="1"/>
    <xf numFmtId="172" fontId="0" fillId="0" borderId="0" xfId="0" applyNumberFormat="1" applyBorder="1"/>
    <xf numFmtId="0" fontId="1" fillId="0" borderId="0" xfId="0" applyFont="1" applyBorder="1"/>
    <xf numFmtId="0" fontId="9" fillId="0" borderId="0" xfId="0" applyFont="1" applyBorder="1"/>
    <xf numFmtId="0" fontId="9" fillId="0" borderId="0" xfId="0" applyFont="1" applyFill="1" applyBorder="1"/>
    <xf numFmtId="175" fontId="0" fillId="0" borderId="0" xfId="0" applyNumberFormat="1" applyBorder="1"/>
    <xf numFmtId="0" fontId="1" fillId="0" borderId="0" xfId="0" applyFont="1" applyBorder="1" applyAlignment="1">
      <alignment vertical="center" wrapText="1"/>
    </xf>
    <xf numFmtId="0" fontId="6" fillId="0" borderId="0" xfId="0" applyFont="1" applyBorder="1"/>
    <xf numFmtId="173" fontId="0" fillId="0" borderId="0" xfId="0" applyNumberFormat="1" applyBorder="1"/>
    <xf numFmtId="0" fontId="0" fillId="0" borderId="0" xfId="0" applyFill="1" applyBorder="1" applyAlignment="1">
      <alignment horizontal="right"/>
    </xf>
    <xf numFmtId="0" fontId="0" fillId="0" borderId="13" xfId="0" applyBorder="1"/>
    <xf numFmtId="0" fontId="11" fillId="0" borderId="49" xfId="0" applyFont="1" applyBorder="1"/>
    <xf numFmtId="0" fontId="1" fillId="0" borderId="27" xfId="0" applyFont="1" applyFill="1" applyBorder="1" applyAlignment="1">
      <alignment horizontal="center" vertical="center"/>
    </xf>
    <xf numFmtId="0" fontId="0" fillId="5" borderId="27" xfId="0" applyFill="1" applyBorder="1" applyAlignment="1" applyProtection="1">
      <alignment horizontal="center" vertical="center"/>
      <protection locked="0"/>
    </xf>
    <xf numFmtId="175" fontId="0" fillId="6" borderId="27" xfId="0" applyNumberFormat="1" applyFill="1" applyBorder="1" applyAlignment="1" applyProtection="1">
      <alignment horizontal="center" vertical="center"/>
      <protection locked="0"/>
    </xf>
    <xf numFmtId="0" fontId="0" fillId="6" borderId="27" xfId="0" applyNumberFormat="1" applyFill="1" applyBorder="1" applyAlignment="1" applyProtection="1">
      <alignment horizontal="center" vertical="center"/>
      <protection locked="0"/>
    </xf>
    <xf numFmtId="175" fontId="0" fillId="6" borderId="27" xfId="0" applyNumberFormat="1" applyFill="1" applyBorder="1" applyAlignment="1" applyProtection="1">
      <alignment horizontal="center"/>
      <protection locked="0"/>
    </xf>
    <xf numFmtId="0" fontId="0" fillId="0" borderId="3" xfId="0" applyFill="1" applyBorder="1" applyAlignment="1">
      <alignment vertical="center"/>
    </xf>
    <xf numFmtId="0" fontId="0" fillId="0" borderId="4" xfId="0" applyFill="1" applyBorder="1" applyAlignment="1">
      <alignment vertical="center"/>
    </xf>
    <xf numFmtId="0" fontId="1" fillId="0" borderId="4" xfId="0" applyFont="1" applyFill="1" applyBorder="1" applyAlignment="1">
      <alignment vertical="center"/>
    </xf>
    <xf numFmtId="0" fontId="0" fillId="0" borderId="7" xfId="0" applyFill="1" applyBorder="1" applyAlignment="1">
      <alignment vertical="center"/>
    </xf>
    <xf numFmtId="0" fontId="1" fillId="0" borderId="8" xfId="0" applyFont="1" applyFill="1" applyBorder="1" applyAlignment="1">
      <alignment vertical="center"/>
    </xf>
    <xf numFmtId="165" fontId="11" fillId="0" borderId="47" xfId="0" applyNumberFormat="1" applyFont="1" applyFill="1" applyBorder="1" applyAlignment="1">
      <alignment vertical="center"/>
    </xf>
    <xf numFmtId="165" fontId="11" fillId="8" borderId="47" xfId="0" applyNumberFormat="1" applyFont="1" applyFill="1" applyBorder="1" applyAlignment="1">
      <alignment vertical="center"/>
    </xf>
    <xf numFmtId="0" fontId="0" fillId="0" borderId="9" xfId="0" applyBorder="1"/>
    <xf numFmtId="0" fontId="0" fillId="0" borderId="2" xfId="0" applyFill="1" applyBorder="1" applyAlignment="1">
      <alignment vertical="center"/>
    </xf>
    <xf numFmtId="0" fontId="0" fillId="0" borderId="69" xfId="0" applyFill="1" applyBorder="1" applyAlignment="1">
      <alignment vertical="center"/>
    </xf>
    <xf numFmtId="0" fontId="0" fillId="0" borderId="70" xfId="0" applyFill="1" applyBorder="1" applyAlignment="1">
      <alignment vertical="center"/>
    </xf>
    <xf numFmtId="165" fontId="0" fillId="0" borderId="9" xfId="0" applyNumberFormat="1" applyFill="1" applyBorder="1" applyAlignment="1">
      <alignment vertical="center"/>
    </xf>
    <xf numFmtId="165" fontId="0" fillId="0" borderId="70" xfId="0" applyNumberFormat="1" applyFill="1" applyBorder="1" applyAlignment="1">
      <alignment vertical="center"/>
    </xf>
    <xf numFmtId="165" fontId="1" fillId="0" borderId="9" xfId="0" applyNumberFormat="1" applyFont="1" applyFill="1" applyBorder="1" applyAlignment="1">
      <alignment horizontal="center" vertical="center"/>
    </xf>
    <xf numFmtId="165" fontId="1" fillId="0" borderId="70" xfId="0" applyNumberFormat="1" applyFont="1" applyFill="1" applyBorder="1" applyAlignment="1">
      <alignment horizontal="center" vertical="center"/>
    </xf>
    <xf numFmtId="165" fontId="19" fillId="0" borderId="9" xfId="0" applyNumberFormat="1" applyFont="1" applyFill="1" applyBorder="1" applyAlignment="1">
      <alignment horizontal="center" vertical="center"/>
    </xf>
    <xf numFmtId="165" fontId="18" fillId="0" borderId="70" xfId="0" applyNumberFormat="1" applyFont="1" applyFill="1" applyBorder="1" applyAlignment="1">
      <alignment vertical="center"/>
    </xf>
    <xf numFmtId="165" fontId="18" fillId="0" borderId="9" xfId="0" applyNumberFormat="1" applyFont="1" applyFill="1" applyBorder="1" applyAlignment="1">
      <alignment horizontal="center" vertical="center"/>
    </xf>
    <xf numFmtId="165" fontId="19" fillId="0" borderId="25" xfId="0" applyNumberFormat="1" applyFont="1" applyFill="1" applyBorder="1" applyAlignment="1">
      <alignment horizontal="center" vertical="center"/>
    </xf>
    <xf numFmtId="165" fontId="18" fillId="0" borderId="6" xfId="0" applyNumberFormat="1" applyFont="1" applyFill="1" applyBorder="1" applyAlignment="1">
      <alignment horizontal="center" vertical="center"/>
    </xf>
    <xf numFmtId="165" fontId="19" fillId="0" borderId="72" xfId="0" applyNumberFormat="1" applyFont="1" applyFill="1" applyBorder="1" applyAlignment="1">
      <alignment horizontal="center" vertical="center"/>
    </xf>
    <xf numFmtId="165" fontId="18" fillId="0" borderId="25" xfId="0" applyNumberFormat="1" applyFont="1" applyFill="1" applyBorder="1" applyAlignment="1">
      <alignment horizontal="center" vertical="center"/>
    </xf>
    <xf numFmtId="0" fontId="0" fillId="0" borderId="71" xfId="0" applyFill="1" applyBorder="1" applyAlignment="1">
      <alignment vertical="center"/>
    </xf>
    <xf numFmtId="165" fontId="11" fillId="0" borderId="72" xfId="0" applyNumberFormat="1" applyFont="1" applyFill="1" applyBorder="1" applyAlignment="1">
      <alignment vertical="center"/>
    </xf>
    <xf numFmtId="175" fontId="0" fillId="0" borderId="7" xfId="0" applyNumberFormat="1" applyFill="1" applyBorder="1" applyAlignment="1">
      <alignment vertical="center"/>
    </xf>
    <xf numFmtId="175" fontId="0" fillId="0" borderId="69" xfId="0" applyNumberFormat="1" applyFill="1" applyBorder="1" applyAlignment="1">
      <alignment vertical="center"/>
    </xf>
    <xf numFmtId="175" fontId="0" fillId="0" borderId="7" xfId="0" applyNumberFormat="1" applyFill="1" applyBorder="1" applyAlignment="1">
      <alignment horizontal="center" vertical="center"/>
    </xf>
    <xf numFmtId="175" fontId="0" fillId="0" borderId="69" xfId="0" applyNumberFormat="1" applyFill="1" applyBorder="1" applyAlignment="1">
      <alignment horizontal="center" vertical="center"/>
    </xf>
    <xf numFmtId="175" fontId="1" fillId="0" borderId="7" xfId="0" applyNumberFormat="1" applyFont="1" applyFill="1" applyBorder="1" applyAlignment="1">
      <alignment horizontal="center" vertical="center"/>
    </xf>
    <xf numFmtId="175" fontId="19" fillId="0" borderId="41" xfId="0" applyNumberFormat="1" applyFont="1" applyFill="1" applyBorder="1" applyAlignment="1">
      <alignment horizontal="center" vertical="center"/>
    </xf>
    <xf numFmtId="175" fontId="0" fillId="0" borderId="2" xfId="0" applyNumberFormat="1" applyFill="1" applyBorder="1" applyAlignment="1">
      <alignment vertical="center"/>
    </xf>
    <xf numFmtId="175" fontId="19" fillId="0" borderId="71" xfId="0" applyNumberFormat="1" applyFont="1" applyFill="1" applyBorder="1" applyAlignment="1">
      <alignment horizontal="center" vertical="center"/>
    </xf>
    <xf numFmtId="175" fontId="19" fillId="0" borderId="7" xfId="0" applyNumberFormat="1" applyFont="1" applyFill="1" applyBorder="1" applyAlignment="1">
      <alignment horizontal="center" vertical="center"/>
    </xf>
    <xf numFmtId="175" fontId="0" fillId="0" borderId="41" xfId="0" applyNumberFormat="1" applyFill="1" applyBorder="1" applyAlignment="1">
      <alignment vertical="center"/>
    </xf>
    <xf numFmtId="0" fontId="2" fillId="0" borderId="0" xfId="0" applyFont="1" applyBorder="1" applyAlignment="1">
      <alignment vertical="center"/>
    </xf>
    <xf numFmtId="0" fontId="2" fillId="0" borderId="0" xfId="0" applyFont="1" applyAlignment="1">
      <alignment vertical="center"/>
    </xf>
    <xf numFmtId="0" fontId="2" fillId="0" borderId="0" xfId="0" applyFont="1" applyFill="1" applyBorder="1" applyAlignment="1">
      <alignment horizontal="center" vertical="center"/>
    </xf>
    <xf numFmtId="0" fontId="2" fillId="0" borderId="0" xfId="0" applyFont="1" applyFill="1" applyBorder="1" applyAlignment="1">
      <alignment vertical="center"/>
    </xf>
    <xf numFmtId="0" fontId="1" fillId="0" borderId="2" xfId="0" applyFont="1" applyBorder="1" applyAlignment="1">
      <alignment horizontal="center" vertical="center"/>
    </xf>
    <xf numFmtId="3" fontId="0" fillId="0" borderId="0" xfId="0" applyNumberFormat="1" applyFont="1" applyFill="1" applyBorder="1" applyAlignment="1">
      <alignment horizontal="center" vertical="center"/>
    </xf>
    <xf numFmtId="0" fontId="0" fillId="0" borderId="0" xfId="0" applyFill="1" applyBorder="1" applyAlignment="1">
      <alignment horizontal="center" vertical="center"/>
    </xf>
    <xf numFmtId="170" fontId="0" fillId="0" borderId="0" xfId="0" applyNumberFormat="1" applyFill="1" applyBorder="1" applyAlignment="1">
      <alignment horizontal="center" vertical="center"/>
    </xf>
    <xf numFmtId="0" fontId="1" fillId="0" borderId="0" xfId="0" applyFont="1" applyBorder="1" applyAlignment="1">
      <alignment horizontal="left" vertical="center"/>
    </xf>
    <xf numFmtId="0" fontId="1" fillId="0" borderId="6" xfId="0" applyFont="1" applyBorder="1" applyAlignment="1">
      <alignment horizontal="left" vertical="center"/>
    </xf>
    <xf numFmtId="0" fontId="2" fillId="2" borderId="0" xfId="0" applyFont="1" applyFill="1" applyBorder="1"/>
    <xf numFmtId="0" fontId="9" fillId="2" borderId="0" xfId="0" quotePrefix="1" applyFont="1" applyFill="1" applyBorder="1"/>
    <xf numFmtId="0" fontId="0" fillId="2" borderId="3" xfId="0" applyFill="1" applyBorder="1"/>
    <xf numFmtId="0" fontId="0" fillId="2" borderId="4" xfId="0" applyFill="1" applyBorder="1"/>
    <xf numFmtId="0" fontId="0" fillId="2" borderId="5" xfId="0" applyFill="1" applyBorder="1"/>
    <xf numFmtId="0" fontId="0" fillId="2" borderId="2" xfId="0" applyFill="1" applyBorder="1"/>
    <xf numFmtId="0" fontId="0" fillId="2" borderId="6" xfId="0" applyFill="1" applyBorder="1"/>
    <xf numFmtId="0" fontId="7" fillId="2" borderId="2" xfId="0" applyFont="1" applyFill="1" applyBorder="1"/>
    <xf numFmtId="0" fontId="2" fillId="2" borderId="6" xfId="0" applyFont="1" applyFill="1" applyBorder="1"/>
    <xf numFmtId="0" fontId="9" fillId="2" borderId="2" xfId="0" applyFont="1" applyFill="1" applyBorder="1"/>
    <xf numFmtId="0" fontId="28" fillId="2" borderId="2" xfId="0" applyFont="1" applyFill="1" applyBorder="1"/>
    <xf numFmtId="0" fontId="9" fillId="2" borderId="6" xfId="0" applyFont="1" applyFill="1" applyBorder="1"/>
    <xf numFmtId="0" fontId="0" fillId="5" borderId="28" xfId="0" applyFill="1" applyBorder="1" applyAlignment="1" applyProtection="1">
      <alignment horizontal="center" vertical="center"/>
      <protection locked="0"/>
    </xf>
    <xf numFmtId="168" fontId="5" fillId="6" borderId="28" xfId="0" applyNumberFormat="1" applyFont="1" applyFill="1" applyBorder="1" applyAlignment="1" applyProtection="1">
      <alignment horizontal="right" vertical="center"/>
      <protection locked="0"/>
    </xf>
    <xf numFmtId="0" fontId="2" fillId="0" borderId="44" xfId="0" applyFont="1" applyBorder="1" applyAlignment="1">
      <alignment vertical="center"/>
    </xf>
    <xf numFmtId="0" fontId="29" fillId="2" borderId="2" xfId="0" applyFont="1" applyFill="1" applyBorder="1"/>
    <xf numFmtId="0" fontId="17" fillId="2" borderId="2" xfId="0" applyFont="1" applyFill="1" applyBorder="1"/>
    <xf numFmtId="17" fontId="17" fillId="2" borderId="2" xfId="0" quotePrefix="1" applyNumberFormat="1" applyFont="1" applyFill="1" applyBorder="1"/>
    <xf numFmtId="0" fontId="4" fillId="0" borderId="0" xfId="0" applyFont="1" applyBorder="1" applyAlignment="1">
      <alignment vertical="center"/>
    </xf>
    <xf numFmtId="0" fontId="0" fillId="5" borderId="73" xfId="0" applyFill="1" applyBorder="1" applyAlignment="1" applyProtection="1">
      <alignment horizontal="center" vertical="center"/>
      <protection locked="0"/>
    </xf>
    <xf numFmtId="175" fontId="1" fillId="0" borderId="2" xfId="0" applyNumberFormat="1" applyFont="1" applyFill="1" applyBorder="1" applyAlignment="1">
      <alignment horizontal="center" vertical="center"/>
    </xf>
    <xf numFmtId="165" fontId="19" fillId="0" borderId="6" xfId="0" applyNumberFormat="1" applyFont="1" applyFill="1" applyBorder="1" applyAlignment="1">
      <alignment horizontal="center" vertical="center"/>
    </xf>
    <xf numFmtId="0" fontId="2" fillId="0" borderId="8" xfId="0" applyFont="1" applyFill="1" applyBorder="1" applyAlignment="1">
      <alignment horizontal="center" vertical="center"/>
    </xf>
    <xf numFmtId="0" fontId="4" fillId="0" borderId="0" xfId="0" applyFont="1" applyBorder="1"/>
    <xf numFmtId="3" fontId="30" fillId="0" borderId="47" xfId="0" applyNumberFormat="1" applyFont="1" applyFill="1" applyBorder="1" applyAlignment="1">
      <alignment horizontal="center" vertical="center"/>
    </xf>
    <xf numFmtId="3" fontId="30" fillId="0" borderId="65" xfId="0" applyNumberFormat="1" applyFont="1" applyFill="1" applyBorder="1" applyAlignment="1">
      <alignment horizontal="center" vertical="center"/>
    </xf>
    <xf numFmtId="175" fontId="0" fillId="0" borderId="3" xfId="0" applyNumberFormat="1" applyFill="1" applyBorder="1" applyAlignment="1">
      <alignment vertical="center"/>
    </xf>
    <xf numFmtId="165" fontId="18" fillId="0" borderId="5" xfId="0" applyNumberFormat="1" applyFont="1" applyFill="1" applyBorder="1" applyAlignment="1">
      <alignment horizontal="center" vertical="center"/>
    </xf>
    <xf numFmtId="170" fontId="0" fillId="0" borderId="0" xfId="0" applyNumberFormat="1" applyAlignment="1"/>
    <xf numFmtId="0" fontId="4" fillId="5" borderId="27" xfId="0" applyFont="1" applyFill="1" applyBorder="1" applyAlignment="1" applyProtection="1">
      <alignment horizontal="center" vertical="center"/>
      <protection locked="0"/>
    </xf>
    <xf numFmtId="3" fontId="0" fillId="5" borderId="27" xfId="0" applyNumberFormat="1" applyFont="1" applyFill="1" applyBorder="1" applyAlignment="1" applyProtection="1">
      <alignment horizontal="center" vertical="center"/>
      <protection locked="0"/>
    </xf>
    <xf numFmtId="0" fontId="9" fillId="0" borderId="0" xfId="0" applyFont="1" applyBorder="1" applyAlignment="1">
      <alignment horizontal="center"/>
    </xf>
    <xf numFmtId="0" fontId="19" fillId="0" borderId="0" xfId="0" applyFont="1" applyBorder="1" applyAlignment="1">
      <alignment horizontal="left" vertical="center"/>
    </xf>
    <xf numFmtId="0" fontId="19" fillId="0" borderId="11" xfId="0" applyFont="1" applyBorder="1" applyAlignment="1">
      <alignment horizontal="left" vertical="center"/>
    </xf>
    <xf numFmtId="0" fontId="19" fillId="0" borderId="0" xfId="0" applyFont="1" applyBorder="1" applyAlignment="1">
      <alignment horizontal="center" vertical="center"/>
    </xf>
    <xf numFmtId="175" fontId="0" fillId="0" borderId="0" xfId="0" applyNumberFormat="1" applyBorder="1" applyAlignment="1">
      <alignment horizontal="center" vertical="center"/>
    </xf>
    <xf numFmtId="0" fontId="0" fillId="0" borderId="77" xfId="0" applyBorder="1"/>
    <xf numFmtId="0" fontId="0" fillId="5" borderId="27" xfId="0" applyFill="1" applyBorder="1" applyAlignment="1" applyProtection="1">
      <alignment horizontal="center"/>
      <protection locked="0"/>
    </xf>
    <xf numFmtId="0" fontId="0" fillId="0" borderId="30" xfId="0" applyFill="1" applyBorder="1" applyAlignment="1">
      <alignment horizontal="center"/>
    </xf>
    <xf numFmtId="0" fontId="0" fillId="0" borderId="20" xfId="0" applyBorder="1"/>
    <xf numFmtId="0" fontId="1" fillId="0" borderId="30" xfId="0" applyFont="1" applyBorder="1" applyAlignment="1">
      <alignment horizontal="left" vertical="center" wrapText="1"/>
    </xf>
    <xf numFmtId="0" fontId="1" fillId="0" borderId="30" xfId="0" applyFont="1" applyBorder="1" applyAlignment="1">
      <alignment vertical="center" wrapText="1"/>
    </xf>
    <xf numFmtId="175" fontId="0" fillId="0" borderId="30" xfId="0" applyNumberFormat="1" applyBorder="1"/>
    <xf numFmtId="0" fontId="31" fillId="0" borderId="0" xfId="5"/>
    <xf numFmtId="0" fontId="31" fillId="0" borderId="0" xfId="5" applyAlignment="1">
      <alignment horizontal="left"/>
    </xf>
    <xf numFmtId="0" fontId="31" fillId="0" borderId="0" xfId="5" applyProtection="1">
      <protection locked="0"/>
    </xf>
    <xf numFmtId="176" fontId="12" fillId="0" borderId="0" xfId="5" applyNumberFormat="1" applyFont="1" applyFill="1" applyBorder="1" applyAlignment="1" applyProtection="1">
      <alignment vertical="center"/>
    </xf>
    <xf numFmtId="176" fontId="12" fillId="0" borderId="0" xfId="5" applyNumberFormat="1" applyFont="1" applyFill="1" applyBorder="1" applyAlignment="1" applyProtection="1">
      <alignment vertical="center"/>
      <protection locked="0"/>
    </xf>
    <xf numFmtId="177" fontId="12" fillId="0" borderId="37" xfId="5" applyNumberFormat="1" applyFont="1" applyBorder="1" applyAlignment="1">
      <alignment vertical="center"/>
    </xf>
    <xf numFmtId="49" fontId="12" fillId="0" borderId="37" xfId="5" applyNumberFormat="1" applyFont="1" applyBorder="1" applyAlignment="1">
      <alignment vertical="center"/>
    </xf>
    <xf numFmtId="49" fontId="12" fillId="0" borderId="40" xfId="5" applyNumberFormat="1" applyFont="1" applyBorder="1" applyAlignment="1">
      <alignment horizontal="left" vertical="center"/>
    </xf>
    <xf numFmtId="0" fontId="32" fillId="0" borderId="0" xfId="5" applyFont="1" applyAlignment="1">
      <alignment vertical="center"/>
    </xf>
    <xf numFmtId="177" fontId="12" fillId="10" borderId="35" xfId="5" applyNumberFormat="1" applyFont="1" applyFill="1" applyBorder="1" applyAlignment="1" applyProtection="1">
      <alignment vertical="center"/>
      <protection locked="0"/>
    </xf>
    <xf numFmtId="49" fontId="12" fillId="0" borderId="35" xfId="5" applyNumberFormat="1" applyFont="1" applyBorder="1" applyAlignment="1">
      <alignment vertical="center"/>
    </xf>
    <xf numFmtId="49" fontId="12" fillId="0" borderId="32" xfId="5" applyNumberFormat="1" applyFont="1" applyBorder="1" applyAlignment="1">
      <alignment horizontal="left" vertical="center"/>
    </xf>
    <xf numFmtId="176" fontId="31" fillId="0" borderId="0" xfId="5" applyNumberFormat="1" applyFill="1" applyBorder="1" applyProtection="1"/>
    <xf numFmtId="176" fontId="31" fillId="0" borderId="0" xfId="5" applyNumberFormat="1" applyFill="1" applyBorder="1" applyProtection="1">
      <protection locked="0"/>
    </xf>
    <xf numFmtId="177" fontId="31" fillId="0" borderId="30" xfId="5" applyNumberFormat="1" applyBorder="1"/>
    <xf numFmtId="49" fontId="31" fillId="0" borderId="30" xfId="5" applyNumberFormat="1" applyBorder="1"/>
    <xf numFmtId="49" fontId="12" fillId="0" borderId="79" xfId="5" applyNumberFormat="1" applyFont="1" applyBorder="1" applyAlignment="1">
      <alignment horizontal="left" vertical="center"/>
    </xf>
    <xf numFmtId="176" fontId="33" fillId="0" borderId="0" xfId="5" applyNumberFormat="1" applyFont="1" applyFill="1" applyBorder="1" applyAlignment="1" applyProtection="1">
      <alignment vertical="center"/>
    </xf>
    <xf numFmtId="176" fontId="33" fillId="0" borderId="0" xfId="5" applyNumberFormat="1" applyFont="1" applyFill="1" applyBorder="1" applyAlignment="1" applyProtection="1">
      <alignment vertical="center"/>
      <protection locked="0"/>
    </xf>
    <xf numFmtId="177" fontId="33" fillId="0" borderId="14" xfId="5" applyNumberFormat="1" applyFont="1" applyBorder="1" applyAlignment="1">
      <alignment vertical="center"/>
    </xf>
    <xf numFmtId="49" fontId="33" fillId="0" borderId="14" xfId="5" applyNumberFormat="1" applyFont="1" applyBorder="1" applyAlignment="1">
      <alignment vertical="center"/>
    </xf>
    <xf numFmtId="49" fontId="33" fillId="0" borderId="12" xfId="5" applyNumberFormat="1" applyFont="1" applyBorder="1" applyAlignment="1">
      <alignment horizontal="left" vertical="center"/>
    </xf>
    <xf numFmtId="0" fontId="31" fillId="0" borderId="0" xfId="5" applyAlignment="1">
      <alignment vertical="center"/>
    </xf>
    <xf numFmtId="0" fontId="31" fillId="0" borderId="0" xfId="5" applyAlignment="1" applyProtection="1">
      <alignment vertical="center"/>
      <protection locked="0"/>
    </xf>
    <xf numFmtId="177" fontId="12" fillId="10" borderId="80" xfId="5" applyNumberFormat="1" applyFont="1" applyFill="1" applyBorder="1" applyAlignment="1" applyProtection="1">
      <alignment vertical="center"/>
      <protection locked="0"/>
    </xf>
    <xf numFmtId="49" fontId="12" fillId="0" borderId="80" xfId="5" applyNumberFormat="1" applyFont="1" applyBorder="1" applyAlignment="1">
      <alignment vertical="center"/>
    </xf>
    <xf numFmtId="177" fontId="12" fillId="10" borderId="39" xfId="5" applyNumberFormat="1" applyFont="1" applyFill="1" applyBorder="1" applyAlignment="1" applyProtection="1">
      <alignment vertical="center"/>
      <protection locked="0"/>
    </xf>
    <xf numFmtId="177" fontId="12" fillId="10" borderId="81" xfId="5" applyNumberFormat="1" applyFont="1" applyFill="1" applyBorder="1" applyAlignment="1" applyProtection="1">
      <alignment vertical="center"/>
      <protection locked="0"/>
    </xf>
    <xf numFmtId="49" fontId="12" fillId="0" borderId="81" xfId="5" applyNumberFormat="1" applyFont="1" applyBorder="1" applyAlignment="1">
      <alignment vertical="center"/>
    </xf>
    <xf numFmtId="49" fontId="12" fillId="0" borderId="82" xfId="5" applyNumberFormat="1" applyFont="1" applyBorder="1" applyAlignment="1">
      <alignment horizontal="left" vertical="center"/>
    </xf>
    <xf numFmtId="177" fontId="12" fillId="0" borderId="35" xfId="5" applyNumberFormat="1" applyFont="1" applyBorder="1" applyAlignment="1">
      <alignment vertical="center"/>
    </xf>
    <xf numFmtId="3" fontId="12" fillId="0" borderId="0" xfId="6" applyNumberFormat="1" applyFont="1" applyAlignment="1" applyProtection="1">
      <alignment vertical="center"/>
      <protection locked="0"/>
    </xf>
    <xf numFmtId="1" fontId="31" fillId="0" borderId="0" xfId="5" applyNumberFormat="1" applyAlignment="1" applyProtection="1">
      <alignment vertical="center"/>
      <protection locked="0"/>
    </xf>
    <xf numFmtId="177" fontId="12" fillId="0" borderId="29" xfId="5" applyNumberFormat="1" applyFont="1" applyBorder="1" applyAlignment="1">
      <alignment vertical="center"/>
    </xf>
    <xf numFmtId="177" fontId="12" fillId="0" borderId="30" xfId="5" applyNumberFormat="1" applyFont="1" applyBorder="1" applyAlignment="1">
      <alignment vertical="center"/>
    </xf>
    <xf numFmtId="49" fontId="12" fillId="0" borderId="30" xfId="5" applyNumberFormat="1" applyFont="1" applyBorder="1" applyAlignment="1">
      <alignment vertical="center"/>
    </xf>
    <xf numFmtId="49" fontId="12" fillId="0" borderId="12" xfId="5" applyNumberFormat="1" applyFont="1" applyBorder="1" applyAlignment="1">
      <alignment vertical="center"/>
    </xf>
    <xf numFmtId="49" fontId="12" fillId="0" borderId="15" xfId="5" applyNumberFormat="1" applyFont="1" applyBorder="1" applyAlignment="1">
      <alignment horizontal="left" vertical="center"/>
    </xf>
    <xf numFmtId="177" fontId="12" fillId="10" borderId="33" xfId="5" applyNumberFormat="1" applyFont="1" applyFill="1" applyBorder="1" applyAlignment="1" applyProtection="1">
      <alignment vertical="center"/>
      <protection locked="0"/>
    </xf>
    <xf numFmtId="177" fontId="33" fillId="0" borderId="27" xfId="5" applyNumberFormat="1" applyFont="1" applyBorder="1" applyAlignment="1">
      <alignment vertical="center"/>
    </xf>
    <xf numFmtId="177" fontId="31" fillId="0" borderId="14" xfId="5" applyNumberFormat="1" applyBorder="1" applyAlignment="1">
      <alignment vertical="center"/>
    </xf>
    <xf numFmtId="177" fontId="31" fillId="0" borderId="13" xfId="5" applyNumberFormat="1" applyBorder="1" applyAlignment="1">
      <alignment vertical="center"/>
    </xf>
    <xf numFmtId="177" fontId="31" fillId="0" borderId="12" xfId="5" applyNumberFormat="1" applyBorder="1" applyAlignment="1">
      <alignment vertical="center"/>
    </xf>
    <xf numFmtId="177" fontId="33" fillId="0" borderId="27" xfId="5" applyNumberFormat="1" applyFont="1" applyFill="1" applyBorder="1" applyAlignment="1" applyProtection="1">
      <alignment vertical="center"/>
    </xf>
    <xf numFmtId="177" fontId="12" fillId="11" borderId="39" xfId="5" applyNumberFormat="1" applyFont="1" applyFill="1" applyBorder="1" applyAlignment="1" applyProtection="1">
      <alignment vertical="center"/>
      <protection locked="0"/>
    </xf>
    <xf numFmtId="177" fontId="12" fillId="11" borderId="33" xfId="5" applyNumberFormat="1" applyFont="1" applyFill="1" applyBorder="1" applyAlignment="1" applyProtection="1">
      <alignment vertical="center"/>
      <protection locked="0"/>
    </xf>
    <xf numFmtId="177" fontId="31" fillId="10" borderId="35" xfId="5" applyNumberFormat="1" applyFill="1" applyBorder="1" applyAlignment="1" applyProtection="1">
      <alignment vertical="center"/>
      <protection locked="0"/>
    </xf>
    <xf numFmtId="178" fontId="33" fillId="0" borderId="27" xfId="5" applyNumberFormat="1" applyFont="1" applyBorder="1" applyAlignment="1">
      <alignment vertical="center"/>
    </xf>
    <xf numFmtId="0" fontId="33" fillId="0" borderId="30" xfId="5" applyFont="1" applyBorder="1" applyAlignment="1">
      <alignment horizontal="left" vertical="center"/>
    </xf>
    <xf numFmtId="178" fontId="31" fillId="0" borderId="14" xfId="5" applyNumberFormat="1" applyBorder="1" applyAlignment="1">
      <alignment vertical="center"/>
    </xf>
    <xf numFmtId="178" fontId="31" fillId="0" borderId="13" xfId="5" applyNumberFormat="1" applyBorder="1" applyAlignment="1">
      <alignment vertical="center"/>
    </xf>
    <xf numFmtId="0" fontId="31" fillId="0" borderId="13" xfId="5" applyBorder="1" applyAlignment="1">
      <alignment vertical="center"/>
    </xf>
    <xf numFmtId="0" fontId="31" fillId="0" borderId="12" xfId="5" applyBorder="1" applyAlignment="1">
      <alignment vertical="center"/>
    </xf>
    <xf numFmtId="0" fontId="31" fillId="0" borderId="30" xfId="5" applyBorder="1" applyAlignment="1">
      <alignment vertical="center"/>
    </xf>
    <xf numFmtId="177" fontId="12" fillId="0" borderId="24" xfId="5" applyNumberFormat="1" applyFont="1" applyFill="1" applyBorder="1" applyAlignment="1" applyProtection="1">
      <alignment vertical="center"/>
    </xf>
    <xf numFmtId="49" fontId="12" fillId="0" borderId="32" xfId="5" applyNumberFormat="1" applyFont="1" applyBorder="1" applyAlignment="1">
      <alignment vertical="center"/>
    </xf>
    <xf numFmtId="0" fontId="33" fillId="0" borderId="30" xfId="5" quotePrefix="1" applyFont="1" applyBorder="1" applyAlignment="1">
      <alignment horizontal="left" vertical="center"/>
    </xf>
    <xf numFmtId="178" fontId="12" fillId="10" borderId="27" xfId="5" applyNumberFormat="1" applyFont="1" applyFill="1" applyBorder="1" applyAlignment="1" applyProtection="1">
      <alignment vertical="center"/>
      <protection locked="0"/>
    </xf>
    <xf numFmtId="0" fontId="12" fillId="0" borderId="30" xfId="5" quotePrefix="1" applyFont="1" applyBorder="1" applyAlignment="1">
      <alignment horizontal="left" vertical="center"/>
    </xf>
    <xf numFmtId="177" fontId="12" fillId="10" borderId="24" xfId="5" applyNumberFormat="1" applyFont="1" applyFill="1" applyBorder="1" applyAlignment="1" applyProtection="1">
      <alignment vertical="center"/>
      <protection locked="0"/>
    </xf>
    <xf numFmtId="177" fontId="12" fillId="10" borderId="34" xfId="5" applyNumberFormat="1" applyFont="1" applyFill="1" applyBorder="1" applyAlignment="1" applyProtection="1">
      <alignment vertical="center"/>
      <protection locked="0"/>
    </xf>
    <xf numFmtId="49" fontId="12" fillId="0" borderId="34" xfId="5" applyNumberFormat="1" applyFont="1" applyBorder="1" applyAlignment="1">
      <alignment vertical="center"/>
    </xf>
    <xf numFmtId="49" fontId="12" fillId="0" borderId="21" xfId="5" applyNumberFormat="1" applyFont="1" applyBorder="1" applyAlignment="1">
      <alignment horizontal="left" vertical="center"/>
    </xf>
    <xf numFmtId="0" fontId="12" fillId="0" borderId="30" xfId="5" applyFont="1" applyBorder="1" applyAlignment="1">
      <alignment horizontal="left" vertical="center"/>
    </xf>
    <xf numFmtId="0" fontId="31" fillId="0" borderId="14" xfId="5" applyBorder="1" applyAlignment="1">
      <alignment vertical="center"/>
    </xf>
    <xf numFmtId="49" fontId="12" fillId="0" borderId="81" xfId="7" applyNumberFormat="1" applyFont="1" applyBorder="1" applyAlignment="1">
      <alignment vertical="center"/>
    </xf>
    <xf numFmtId="49" fontId="12" fillId="0" borderId="82" xfId="7" applyNumberFormat="1" applyFont="1" applyBorder="1" applyAlignment="1">
      <alignment horizontal="left" vertical="center"/>
    </xf>
    <xf numFmtId="49" fontId="12" fillId="0" borderId="35" xfId="7" applyNumberFormat="1" applyFont="1" applyBorder="1" applyAlignment="1">
      <alignment vertical="center"/>
    </xf>
    <xf numFmtId="49" fontId="12" fillId="0" borderId="32" xfId="7" applyNumberFormat="1" applyFont="1" applyBorder="1" applyAlignment="1">
      <alignment horizontal="left" vertical="center"/>
    </xf>
    <xf numFmtId="178" fontId="12" fillId="11" borderId="38" xfId="5" applyNumberFormat="1" applyFont="1" applyFill="1" applyBorder="1" applyAlignment="1" applyProtection="1">
      <alignment vertical="center"/>
      <protection locked="0"/>
    </xf>
    <xf numFmtId="178" fontId="12" fillId="10" borderId="24" xfId="5" applyNumberFormat="1" applyFont="1" applyFill="1" applyBorder="1" applyAlignment="1" applyProtection="1">
      <alignment vertical="center"/>
      <protection locked="0"/>
    </xf>
    <xf numFmtId="49" fontId="12" fillId="0" borderId="30" xfId="5" quotePrefix="1" applyNumberFormat="1" applyFont="1" applyBorder="1" applyAlignment="1">
      <alignment horizontal="left" vertical="center"/>
    </xf>
    <xf numFmtId="49" fontId="12" fillId="0" borderId="80" xfId="7" applyNumberFormat="1" applyFont="1" applyBorder="1" applyAlignment="1">
      <alignment vertical="center"/>
    </xf>
    <xf numFmtId="49" fontId="12" fillId="0" borderId="79" xfId="7" applyNumberFormat="1" applyFont="1" applyBorder="1" applyAlignment="1">
      <alignment horizontal="left" vertical="center"/>
    </xf>
    <xf numFmtId="3" fontId="33" fillId="0" borderId="30" xfId="5" applyNumberFormat="1" applyFont="1" applyBorder="1" applyAlignment="1" applyProtection="1">
      <alignment horizontal="left" vertical="center"/>
      <protection locked="0"/>
    </xf>
    <xf numFmtId="3" fontId="31" fillId="0" borderId="0" xfId="5" applyNumberFormat="1" applyAlignment="1" applyProtection="1">
      <alignment vertical="center"/>
      <protection locked="0"/>
    </xf>
    <xf numFmtId="0" fontId="33" fillId="0" borderId="27" xfId="5" applyFont="1" applyBorder="1" applyAlignment="1">
      <alignment horizontal="center" vertical="center"/>
    </xf>
    <xf numFmtId="0" fontId="33" fillId="0" borderId="27" xfId="5" applyFont="1" applyBorder="1" applyAlignment="1">
      <alignment horizontal="centerContinuous" vertical="center"/>
    </xf>
    <xf numFmtId="0" fontId="14" fillId="0" borderId="30" xfId="5" applyFont="1" applyBorder="1" applyAlignment="1">
      <alignment horizontal="centerContinuous" vertical="center"/>
    </xf>
    <xf numFmtId="177" fontId="33" fillId="0" borderId="27" xfId="5" applyNumberFormat="1" applyFont="1" applyBorder="1" applyAlignment="1">
      <alignment horizontal="center" vertical="center"/>
    </xf>
    <xf numFmtId="0" fontId="33" fillId="0" borderId="0" xfId="5" applyFont="1" applyBorder="1" applyAlignment="1">
      <alignment horizontal="center" vertical="center"/>
    </xf>
    <xf numFmtId="0" fontId="33" fillId="0" borderId="0" xfId="5" applyFont="1" applyBorder="1" applyAlignment="1" applyProtection="1">
      <alignment horizontal="center" vertical="center"/>
      <protection locked="0"/>
    </xf>
    <xf numFmtId="49" fontId="17" fillId="0" borderId="0" xfId="5" applyNumberFormat="1" applyFont="1" applyAlignment="1">
      <alignment horizontal="left" vertical="center"/>
    </xf>
    <xf numFmtId="0" fontId="12" fillId="0" borderId="0" xfId="5" applyFont="1" applyAlignment="1">
      <alignment horizontal="right" vertical="center"/>
    </xf>
    <xf numFmtId="0" fontId="31" fillId="0" borderId="0" xfId="5" applyAlignment="1">
      <alignment vertical="center" wrapText="1"/>
    </xf>
    <xf numFmtId="177" fontId="12" fillId="0" borderId="83" xfId="5" applyNumberFormat="1" applyFont="1" applyBorder="1" applyAlignment="1">
      <alignment vertical="center"/>
    </xf>
    <xf numFmtId="179" fontId="33" fillId="12" borderId="84" xfId="2" applyNumberFormat="1" applyFont="1" applyFill="1" applyBorder="1" applyAlignment="1">
      <alignment horizontal="center" vertical="center" wrapText="1"/>
    </xf>
    <xf numFmtId="177" fontId="33" fillId="12" borderId="84" xfId="2" applyNumberFormat="1" applyFont="1" applyFill="1" applyBorder="1" applyAlignment="1">
      <alignment horizontal="center" vertical="center" wrapText="1"/>
    </xf>
    <xf numFmtId="177" fontId="33" fillId="12" borderId="12" xfId="2" applyNumberFormat="1" applyFont="1" applyFill="1" applyBorder="1" applyAlignment="1">
      <alignment horizontal="center" vertical="center" wrapText="1"/>
    </xf>
    <xf numFmtId="180" fontId="33" fillId="0" borderId="12" xfId="2" applyNumberFormat="1" applyFont="1" applyFill="1" applyBorder="1" applyAlignment="1">
      <alignment vertical="center" wrapText="1"/>
    </xf>
    <xf numFmtId="177" fontId="33" fillId="0" borderId="84" xfId="2" applyNumberFormat="1" applyFont="1" applyFill="1" applyBorder="1" applyAlignment="1">
      <alignment horizontal="center" vertical="center" wrapText="1"/>
    </xf>
    <xf numFmtId="0" fontId="14" fillId="0" borderId="19" xfId="5" applyFont="1" applyBorder="1" applyAlignment="1">
      <alignment vertical="center" wrapText="1"/>
    </xf>
    <xf numFmtId="177" fontId="12" fillId="0" borderId="28" xfId="5" applyNumberFormat="1" applyFont="1" applyBorder="1" applyAlignment="1">
      <alignment vertical="center"/>
    </xf>
    <xf numFmtId="0" fontId="33" fillId="0" borderId="12" xfId="5" applyFont="1" applyBorder="1" applyAlignment="1">
      <alignment vertical="center" wrapText="1"/>
    </xf>
    <xf numFmtId="177" fontId="31" fillId="0" borderId="85" xfId="5" applyNumberFormat="1" applyBorder="1" applyAlignment="1">
      <alignment vertical="center"/>
    </xf>
    <xf numFmtId="179" fontId="31" fillId="10" borderId="86" xfId="5" applyNumberFormat="1" applyFill="1" applyBorder="1" applyAlignment="1" applyProtection="1">
      <alignment vertical="center"/>
      <protection locked="0"/>
    </xf>
    <xf numFmtId="177" fontId="31" fillId="10" borderId="87" xfId="5" applyNumberFormat="1" applyFill="1" applyBorder="1" applyAlignment="1" applyProtection="1">
      <alignment vertical="center"/>
      <protection locked="0"/>
    </xf>
    <xf numFmtId="177" fontId="12" fillId="0" borderId="85" xfId="5" applyNumberFormat="1" applyFont="1" applyBorder="1" applyAlignment="1">
      <alignment vertical="center"/>
    </xf>
    <xf numFmtId="177" fontId="31" fillId="10" borderId="6" xfId="5" applyNumberFormat="1" applyFill="1" applyBorder="1" applyAlignment="1" applyProtection="1">
      <alignment vertical="center"/>
      <protection locked="0"/>
    </xf>
    <xf numFmtId="180" fontId="31" fillId="10" borderId="29" xfId="5" applyNumberFormat="1" applyFill="1" applyBorder="1" applyAlignment="1" applyProtection="1">
      <alignment vertical="center"/>
      <protection locked="0"/>
    </xf>
    <xf numFmtId="177" fontId="31" fillId="0" borderId="26" xfId="5" applyNumberFormat="1" applyBorder="1" applyAlignment="1">
      <alignment vertical="center"/>
    </xf>
    <xf numFmtId="180" fontId="31" fillId="10" borderId="15" xfId="5" applyNumberFormat="1" applyFill="1" applyBorder="1" applyAlignment="1" applyProtection="1">
      <alignment vertical="center"/>
      <protection locked="0"/>
    </xf>
    <xf numFmtId="0" fontId="12" fillId="10" borderId="15" xfId="5" applyFont="1" applyFill="1" applyBorder="1" applyAlignment="1" applyProtection="1">
      <alignment vertical="center"/>
      <protection locked="0"/>
    </xf>
    <xf numFmtId="179" fontId="31" fillId="10" borderId="88" xfId="5" applyNumberFormat="1" applyFill="1" applyBorder="1" applyAlignment="1" applyProtection="1">
      <alignment vertical="center"/>
      <protection locked="0"/>
    </xf>
    <xf numFmtId="177" fontId="12" fillId="0" borderId="26" xfId="5" applyNumberFormat="1" applyFont="1" applyBorder="1" applyAlignment="1">
      <alignment vertical="center"/>
    </xf>
    <xf numFmtId="177" fontId="31" fillId="10" borderId="88" xfId="5" applyNumberFormat="1" applyFill="1" applyBorder="1" applyAlignment="1" applyProtection="1">
      <alignment vertical="center"/>
      <protection locked="0"/>
    </xf>
    <xf numFmtId="177" fontId="31" fillId="10" borderId="9" xfId="5" applyNumberFormat="1" applyFill="1" applyBorder="1" applyAlignment="1" applyProtection="1">
      <alignment vertical="center"/>
      <protection locked="0"/>
    </xf>
    <xf numFmtId="180" fontId="31" fillId="10" borderId="89" xfId="5" applyNumberFormat="1" applyFill="1" applyBorder="1" applyAlignment="1" applyProtection="1">
      <alignment vertical="center"/>
      <protection locked="0"/>
    </xf>
    <xf numFmtId="180" fontId="31" fillId="10" borderId="79" xfId="5" applyNumberFormat="1" applyFill="1" applyBorder="1" applyAlignment="1" applyProtection="1">
      <alignment vertical="center"/>
      <protection locked="0"/>
    </xf>
    <xf numFmtId="0" fontId="12" fillId="10" borderId="79" xfId="5" applyFont="1" applyFill="1" applyBorder="1" applyAlignment="1" applyProtection="1">
      <alignment vertical="center"/>
      <protection locked="0"/>
    </xf>
    <xf numFmtId="177" fontId="31" fillId="0" borderId="23" xfId="5" applyNumberFormat="1" applyBorder="1" applyAlignment="1">
      <alignment vertical="center"/>
    </xf>
    <xf numFmtId="177" fontId="31" fillId="0" borderId="28" xfId="5" applyNumberFormat="1" applyBorder="1" applyAlignment="1">
      <alignment vertical="center"/>
    </xf>
    <xf numFmtId="180" fontId="33" fillId="0" borderId="27" xfId="5" applyNumberFormat="1" applyFont="1" applyBorder="1" applyAlignment="1">
      <alignment vertical="center" wrapText="1"/>
    </xf>
    <xf numFmtId="179" fontId="31" fillId="10" borderId="6" xfId="5" applyNumberFormat="1" applyFill="1" applyBorder="1" applyAlignment="1" applyProtection="1">
      <alignment vertical="center"/>
      <protection locked="0"/>
    </xf>
    <xf numFmtId="177" fontId="31" fillId="0" borderId="83" xfId="5" applyNumberFormat="1" applyBorder="1" applyAlignment="1">
      <alignment vertical="center"/>
    </xf>
    <xf numFmtId="177" fontId="31" fillId="10" borderId="86" xfId="5" applyNumberFormat="1" applyFill="1" applyBorder="1" applyAlignment="1" applyProtection="1">
      <alignment vertical="center"/>
      <protection locked="0"/>
    </xf>
    <xf numFmtId="180" fontId="31" fillId="10" borderId="18" xfId="5" applyNumberFormat="1" applyFill="1" applyBorder="1" applyAlignment="1" applyProtection="1">
      <alignment vertical="center"/>
      <protection locked="0"/>
    </xf>
    <xf numFmtId="179" fontId="31" fillId="10" borderId="9" xfId="5" applyNumberFormat="1" applyFill="1" applyBorder="1" applyAlignment="1" applyProtection="1">
      <alignment vertical="center"/>
      <protection locked="0"/>
    </xf>
    <xf numFmtId="177" fontId="31" fillId="10" borderId="22" xfId="5" applyNumberFormat="1" applyFill="1" applyBorder="1" applyAlignment="1" applyProtection="1">
      <alignment vertical="center"/>
      <protection locked="0"/>
    </xf>
    <xf numFmtId="180" fontId="31" fillId="10" borderId="24" xfId="5" applyNumberFormat="1" applyFill="1" applyBorder="1" applyAlignment="1" applyProtection="1">
      <alignment vertical="center"/>
      <protection locked="0"/>
    </xf>
    <xf numFmtId="180" fontId="31" fillId="10" borderId="21" xfId="5" applyNumberFormat="1" applyFill="1" applyBorder="1" applyAlignment="1" applyProtection="1">
      <alignment vertical="center"/>
      <protection locked="0"/>
    </xf>
    <xf numFmtId="0" fontId="31" fillId="0" borderId="0" xfId="5" applyFont="1" applyAlignment="1">
      <alignment vertical="center" wrapText="1"/>
    </xf>
    <xf numFmtId="0" fontId="12" fillId="0" borderId="83" xfId="5" applyFont="1" applyBorder="1" applyAlignment="1">
      <alignment horizontal="center" vertical="center" wrapText="1"/>
    </xf>
    <xf numFmtId="0" fontId="12" fillId="0" borderId="86" xfId="5" applyFont="1" applyBorder="1" applyAlignment="1">
      <alignment horizontal="center" vertical="center" wrapText="1"/>
    </xf>
    <xf numFmtId="0" fontId="12" fillId="0" borderId="11" xfId="5" applyFont="1" applyBorder="1" applyAlignment="1">
      <alignment horizontal="center" vertical="center" wrapText="1"/>
    </xf>
    <xf numFmtId="0" fontId="31" fillId="0" borderId="18" xfId="5" applyFont="1" applyBorder="1" applyAlignment="1">
      <alignment horizontal="center" vertical="center" wrapText="1"/>
    </xf>
    <xf numFmtId="0" fontId="12" fillId="0" borderId="20" xfId="5" applyFont="1" applyBorder="1" applyAlignment="1">
      <alignment horizontal="center" vertical="center" wrapText="1"/>
    </xf>
    <xf numFmtId="0" fontId="12" fillId="0" borderId="19" xfId="5" applyFont="1" applyBorder="1" applyAlignment="1">
      <alignment horizontal="center" vertical="center" wrapText="1"/>
    </xf>
    <xf numFmtId="0" fontId="31" fillId="0" borderId="18" xfId="5" applyFont="1" applyBorder="1" applyAlignment="1">
      <alignment vertical="center" wrapText="1"/>
    </xf>
    <xf numFmtId="0" fontId="33" fillId="0" borderId="17" xfId="5" applyFont="1" applyBorder="1" applyAlignment="1">
      <alignment horizontal="centerContinuous" vertical="center" wrapText="1"/>
    </xf>
    <xf numFmtId="0" fontId="33" fillId="0" borderId="16" xfId="5" applyFont="1" applyBorder="1" applyAlignment="1">
      <alignment vertical="center" wrapText="1"/>
    </xf>
    <xf numFmtId="0" fontId="36" fillId="0" borderId="0" xfId="5" applyFont="1" applyBorder="1" applyAlignment="1">
      <alignment horizontal="centerContinuous" vertical="center"/>
    </xf>
    <xf numFmtId="0" fontId="36" fillId="0" borderId="15" xfId="5" applyFont="1" applyBorder="1" applyAlignment="1">
      <alignment horizontal="centerContinuous" vertical="center"/>
    </xf>
    <xf numFmtId="0" fontId="31" fillId="0" borderId="0" xfId="5" applyNumberFormat="1" applyFill="1" applyAlignment="1" applyProtection="1">
      <alignment vertical="center"/>
    </xf>
    <xf numFmtId="0" fontId="12" fillId="0" borderId="0" xfId="5" applyNumberFormat="1" applyFont="1" applyFill="1" applyAlignment="1" applyProtection="1">
      <alignment horizontal="right" vertical="center"/>
    </xf>
    <xf numFmtId="0" fontId="15" fillId="0" borderId="0" xfId="5" applyNumberFormat="1" applyFont="1" applyFill="1" applyBorder="1" applyAlignment="1" applyProtection="1">
      <alignment horizontal="left" vertical="center"/>
    </xf>
    <xf numFmtId="0" fontId="15" fillId="0" borderId="11" xfId="5" applyNumberFormat="1" applyFont="1" applyFill="1" applyBorder="1" applyAlignment="1" applyProtection="1">
      <alignment horizontal="left" vertical="center"/>
    </xf>
    <xf numFmtId="0" fontId="14" fillId="0" borderId="11" xfId="5" applyNumberFormat="1" applyFont="1" applyFill="1" applyBorder="1" applyAlignment="1" applyProtection="1">
      <alignment horizontal="right" vertical="center"/>
    </xf>
    <xf numFmtId="0" fontId="13" fillId="0" borderId="0" xfId="5" applyNumberFormat="1" applyFont="1" applyFill="1" applyAlignment="1" applyProtection="1">
      <alignment vertical="center"/>
    </xf>
    <xf numFmtId="0" fontId="12" fillId="4" borderId="21" xfId="5" applyFont="1" applyFill="1" applyBorder="1" applyAlignment="1" applyProtection="1">
      <alignment vertical="center"/>
      <protection locked="0"/>
    </xf>
    <xf numFmtId="177" fontId="12" fillId="0" borderId="32" xfId="5" applyNumberFormat="1" applyFont="1" applyBorder="1" applyAlignment="1" applyProtection="1">
      <alignment horizontal="left" vertical="center"/>
    </xf>
    <xf numFmtId="49" fontId="32" fillId="0" borderId="0" xfId="5" applyNumberFormat="1" applyFont="1" applyAlignment="1">
      <alignment vertical="center"/>
    </xf>
    <xf numFmtId="177" fontId="12" fillId="0" borderId="10" xfId="5" applyNumberFormat="1" applyFont="1" applyBorder="1" applyAlignment="1" applyProtection="1">
      <alignment horizontal="left" vertical="center"/>
    </xf>
    <xf numFmtId="177" fontId="12" fillId="0" borderId="32" xfId="5" applyNumberFormat="1" applyFont="1" applyBorder="1" applyAlignment="1" applyProtection="1">
      <alignment vertical="center"/>
    </xf>
    <xf numFmtId="177" fontId="12" fillId="0" borderId="10" xfId="5" applyNumberFormat="1" applyFont="1" applyBorder="1" applyAlignment="1" applyProtection="1">
      <alignment vertical="center"/>
    </xf>
    <xf numFmtId="177" fontId="12" fillId="0" borderId="82" xfId="5" applyNumberFormat="1" applyFont="1" applyBorder="1" applyAlignment="1" applyProtection="1">
      <alignment horizontal="left" vertical="center"/>
    </xf>
    <xf numFmtId="177" fontId="12" fillId="0" borderId="4" xfId="5" applyNumberFormat="1" applyFont="1" applyBorder="1" applyAlignment="1" applyProtection="1">
      <alignment horizontal="left" vertical="center"/>
    </xf>
    <xf numFmtId="177" fontId="33" fillId="0" borderId="12" xfId="5" applyNumberFormat="1" applyFont="1" applyBorder="1" applyAlignment="1" applyProtection="1">
      <alignment horizontal="left" vertical="center"/>
    </xf>
    <xf numFmtId="177" fontId="33" fillId="0" borderId="13" xfId="5" quotePrefix="1" applyNumberFormat="1" applyFont="1" applyBorder="1" applyAlignment="1" applyProtection="1">
      <alignment horizontal="left" vertical="center"/>
    </xf>
    <xf numFmtId="177" fontId="33" fillId="0" borderId="12" xfId="5" quotePrefix="1" applyNumberFormat="1" applyFont="1" applyBorder="1" applyAlignment="1" applyProtection="1">
      <alignment horizontal="left" vertical="center"/>
    </xf>
    <xf numFmtId="177" fontId="33" fillId="0" borderId="14" xfId="5" quotePrefix="1" applyNumberFormat="1" applyFont="1" applyBorder="1" applyAlignment="1" applyProtection="1">
      <alignment horizontal="left" vertical="center"/>
    </xf>
    <xf numFmtId="177" fontId="12" fillId="0" borderId="21" xfId="5" applyNumberFormat="1" applyFont="1" applyFill="1" applyBorder="1" applyAlignment="1" applyProtection="1">
      <alignment vertical="center"/>
    </xf>
    <xf numFmtId="177" fontId="12" fillId="0" borderId="31" xfId="5" applyNumberFormat="1" applyFont="1" applyFill="1" applyBorder="1" applyAlignment="1" applyProtection="1">
      <alignment vertical="center"/>
    </xf>
    <xf numFmtId="177" fontId="12" fillId="0" borderId="35" xfId="5" applyNumberFormat="1" applyFont="1" applyBorder="1" applyAlignment="1" applyProtection="1">
      <alignment horizontal="left" vertical="center"/>
    </xf>
    <xf numFmtId="0" fontId="12" fillId="0" borderId="36" xfId="5" quotePrefix="1" applyFont="1" applyBorder="1" applyAlignment="1">
      <alignment horizontal="left" vertical="center"/>
    </xf>
    <xf numFmtId="0" fontId="12" fillId="0" borderId="37" xfId="5" quotePrefix="1" applyFont="1" applyBorder="1" applyAlignment="1">
      <alignment horizontal="left" vertical="center"/>
    </xf>
    <xf numFmtId="0" fontId="33" fillId="0" borderId="13" xfId="5" quotePrefix="1" applyFont="1" applyBorder="1" applyAlignment="1">
      <alignment horizontal="left" vertical="center"/>
    </xf>
    <xf numFmtId="0" fontId="33" fillId="0" borderId="14" xfId="5" quotePrefix="1" applyFont="1" applyBorder="1" applyAlignment="1">
      <alignment horizontal="left" vertical="center"/>
    </xf>
    <xf numFmtId="3" fontId="33" fillId="0" borderId="13" xfId="5" applyNumberFormat="1" applyFont="1" applyBorder="1" applyAlignment="1" applyProtection="1">
      <alignment horizontal="left" vertical="center"/>
      <protection locked="0"/>
    </xf>
    <xf numFmtId="3" fontId="33" fillId="0" borderId="14" xfId="5" applyNumberFormat="1" applyFont="1" applyBorder="1" applyAlignment="1" applyProtection="1">
      <alignment horizontal="left" vertical="center"/>
      <protection locked="0"/>
    </xf>
    <xf numFmtId="49" fontId="12" fillId="0" borderId="13" xfId="5" quotePrefix="1" applyNumberFormat="1" applyFont="1" applyBorder="1" applyAlignment="1">
      <alignment horizontal="left" vertical="center"/>
    </xf>
    <xf numFmtId="49" fontId="12" fillId="0" borderId="14" xfId="5" quotePrefix="1" applyNumberFormat="1" applyFont="1" applyBorder="1" applyAlignment="1">
      <alignment horizontal="left" vertical="center"/>
    </xf>
    <xf numFmtId="0" fontId="33" fillId="0" borderId="15" xfId="5" quotePrefix="1" applyFont="1" applyBorder="1" applyAlignment="1">
      <alignment horizontal="left" vertical="center"/>
    </xf>
    <xf numFmtId="0" fontId="31" fillId="0" borderId="15" xfId="5" applyBorder="1" applyAlignment="1">
      <alignment vertical="center"/>
    </xf>
    <xf numFmtId="0" fontId="33" fillId="0" borderId="15" xfId="5" applyFont="1" applyBorder="1" applyAlignment="1">
      <alignment horizontal="left" vertical="center"/>
    </xf>
    <xf numFmtId="177" fontId="12" fillId="9" borderId="80" xfId="5" applyNumberFormat="1" applyFont="1" applyFill="1" applyBorder="1" applyAlignment="1" applyProtection="1">
      <alignment vertical="center"/>
    </xf>
    <xf numFmtId="177" fontId="31" fillId="9" borderId="90" xfId="5" applyNumberFormat="1" applyFill="1" applyBorder="1" applyAlignment="1" applyProtection="1">
      <alignment vertical="center"/>
    </xf>
    <xf numFmtId="177" fontId="31" fillId="9" borderId="42" xfId="5" applyNumberFormat="1" applyFill="1" applyBorder="1" applyAlignment="1" applyProtection="1">
      <alignment vertical="center"/>
    </xf>
    <xf numFmtId="177" fontId="31" fillId="9" borderId="91" xfId="5" applyNumberFormat="1" applyFill="1" applyBorder="1" applyAlignment="1" applyProtection="1">
      <alignment vertical="center"/>
    </xf>
    <xf numFmtId="177" fontId="31" fillId="9" borderId="92" xfId="5" applyNumberFormat="1" applyFill="1" applyBorder="1" applyAlignment="1" applyProtection="1">
      <alignment vertical="center"/>
    </xf>
    <xf numFmtId="177" fontId="31" fillId="0" borderId="7" xfId="5" applyNumberFormat="1" applyBorder="1" applyAlignment="1">
      <alignment vertical="center"/>
    </xf>
    <xf numFmtId="0" fontId="12" fillId="4" borderId="79" xfId="5" applyFont="1" applyFill="1" applyBorder="1" applyAlignment="1" applyProtection="1">
      <alignment vertical="center"/>
      <protection locked="0"/>
    </xf>
    <xf numFmtId="0" fontId="0" fillId="0" borderId="27" xfId="0" applyBorder="1" applyAlignment="1">
      <alignment horizontal="center"/>
    </xf>
    <xf numFmtId="0" fontId="1" fillId="6" borderId="27" xfId="0" applyFont="1" applyFill="1" applyBorder="1" applyAlignment="1" applyProtection="1">
      <alignment horizontal="center" vertical="center"/>
      <protection locked="0"/>
    </xf>
    <xf numFmtId="0" fontId="1" fillId="0" borderId="0" xfId="0" applyFont="1" applyFill="1" applyBorder="1" applyAlignment="1" applyProtection="1">
      <alignment horizontal="center" vertical="center"/>
      <protection locked="0"/>
    </xf>
    <xf numFmtId="0" fontId="37" fillId="0" borderId="46" xfId="0" applyFont="1" applyFill="1" applyBorder="1" applyAlignment="1">
      <alignment vertical="center"/>
    </xf>
    <xf numFmtId="166" fontId="4" fillId="0" borderId="0" xfId="0" applyNumberFormat="1" applyFont="1" applyFill="1" applyBorder="1" applyAlignment="1">
      <alignment horizontal="center" vertical="center"/>
    </xf>
    <xf numFmtId="0" fontId="0" fillId="5" borderId="73" xfId="0" applyFont="1" applyFill="1" applyBorder="1" applyAlignment="1" applyProtection="1">
      <alignment horizontal="center" vertical="center"/>
      <protection locked="0"/>
    </xf>
    <xf numFmtId="0" fontId="24" fillId="0" borderId="50" xfId="0" applyFont="1" applyBorder="1" applyAlignment="1">
      <alignment vertical="center"/>
    </xf>
    <xf numFmtId="2" fontId="0" fillId="0" borderId="59" xfId="0" applyNumberFormat="1" applyBorder="1" applyAlignment="1">
      <alignment horizontal="center" vertical="center"/>
    </xf>
    <xf numFmtId="2" fontId="0" fillId="0" borderId="47" xfId="0" applyNumberFormat="1" applyBorder="1" applyAlignment="1">
      <alignment vertical="center"/>
    </xf>
    <xf numFmtId="2" fontId="0" fillId="0" borderId="47" xfId="0" applyNumberFormat="1" applyBorder="1" applyAlignment="1">
      <alignment horizontal="center" vertical="center"/>
    </xf>
    <xf numFmtId="2" fontId="0" fillId="0" borderId="0" xfId="0" applyNumberFormat="1" applyFont="1" applyFill="1" applyBorder="1" applyAlignment="1">
      <alignment horizontal="center" vertical="center"/>
    </xf>
    <xf numFmtId="171" fontId="6" fillId="0" borderId="0" xfId="0" applyNumberFormat="1" applyFont="1" applyFill="1" applyBorder="1" applyAlignment="1">
      <alignment horizontal="center" vertical="center"/>
    </xf>
    <xf numFmtId="0" fontId="0" fillId="0" borderId="0" xfId="0" applyFill="1" applyBorder="1" applyAlignment="1" applyProtection="1">
      <alignment horizontal="center" vertical="center"/>
    </xf>
    <xf numFmtId="0" fontId="1" fillId="0" borderId="0" xfId="0" applyFont="1" applyFill="1" applyBorder="1" applyAlignment="1" applyProtection="1">
      <alignment horizontal="center" vertical="center"/>
    </xf>
    <xf numFmtId="0" fontId="0" fillId="0" borderId="0" xfId="0" applyFill="1" applyBorder="1" applyAlignment="1" applyProtection="1">
      <alignment vertical="center"/>
    </xf>
    <xf numFmtId="181" fontId="5" fillId="0" borderId="27" xfId="0" applyNumberFormat="1" applyFont="1" applyFill="1" applyBorder="1" applyAlignment="1">
      <alignment horizontal="right" vertical="center"/>
    </xf>
    <xf numFmtId="181" fontId="5" fillId="0" borderId="0" xfId="0" applyNumberFormat="1" applyFont="1" applyFill="1" applyBorder="1" applyAlignment="1">
      <alignment horizontal="right" vertical="center"/>
    </xf>
    <xf numFmtId="181" fontId="5" fillId="6" borderId="27" xfId="0" applyNumberFormat="1" applyFont="1" applyFill="1" applyBorder="1" applyAlignment="1" applyProtection="1">
      <alignment horizontal="right" vertical="center"/>
      <protection locked="0"/>
    </xf>
    <xf numFmtId="181" fontId="0" fillId="0" borderId="0" xfId="0" applyNumberFormat="1" applyFill="1" applyBorder="1" applyAlignment="1">
      <alignment horizontal="right" vertical="center"/>
    </xf>
    <xf numFmtId="181" fontId="1" fillId="0" borderId="27" xfId="0" applyNumberFormat="1" applyFont="1" applyFill="1" applyBorder="1" applyAlignment="1">
      <alignment horizontal="right" vertical="center"/>
    </xf>
    <xf numFmtId="182" fontId="5" fillId="0" borderId="27" xfId="0" applyNumberFormat="1" applyFont="1" applyFill="1" applyBorder="1" applyAlignment="1">
      <alignment horizontal="right" vertical="center"/>
    </xf>
    <xf numFmtId="182" fontId="5" fillId="0" borderId="0" xfId="0" applyNumberFormat="1" applyFont="1" applyFill="1" applyBorder="1" applyAlignment="1">
      <alignment horizontal="right" vertical="center"/>
    </xf>
    <xf numFmtId="175" fontId="0" fillId="0" borderId="0" xfId="0" applyNumberFormat="1" applyFill="1" applyBorder="1" applyAlignment="1">
      <alignment horizontal="center" vertical="center"/>
    </xf>
    <xf numFmtId="183" fontId="0" fillId="0" borderId="0" xfId="0" applyNumberFormat="1" applyBorder="1" applyAlignment="1">
      <alignment horizontal="center" vertical="center"/>
    </xf>
    <xf numFmtId="175" fontId="0" fillId="0" borderId="0" xfId="0" applyNumberFormat="1" applyFont="1" applyFill="1" applyBorder="1" applyAlignment="1">
      <alignment horizontal="center" vertical="center"/>
    </xf>
    <xf numFmtId="175" fontId="0" fillId="0" borderId="27" xfId="0" applyNumberFormat="1" applyFill="1" applyBorder="1" applyAlignment="1" applyProtection="1">
      <alignment horizontal="center" vertical="center"/>
    </xf>
    <xf numFmtId="165" fontId="0" fillId="0" borderId="30" xfId="0" applyNumberFormat="1" applyBorder="1"/>
    <xf numFmtId="175" fontId="0" fillId="0" borderId="0" xfId="0" applyNumberFormat="1" applyFill="1" applyBorder="1" applyAlignment="1" applyProtection="1">
      <alignment horizontal="center" vertical="center"/>
      <protection locked="0"/>
    </xf>
    <xf numFmtId="175" fontId="23" fillId="0" borderId="0" xfId="0" applyNumberFormat="1" applyFont="1" applyBorder="1"/>
    <xf numFmtId="0" fontId="27" fillId="0" borderId="0" xfId="0" applyFont="1" applyAlignment="1">
      <alignment horizontal="center" vertical="center"/>
    </xf>
    <xf numFmtId="0" fontId="42" fillId="2" borderId="2" xfId="8" applyFont="1" applyFill="1" applyBorder="1"/>
    <xf numFmtId="0" fontId="43" fillId="2" borderId="2" xfId="8" applyFont="1" applyFill="1" applyBorder="1"/>
    <xf numFmtId="0" fontId="44" fillId="2" borderId="2" xfId="0" applyFont="1" applyFill="1" applyBorder="1"/>
    <xf numFmtId="0" fontId="0" fillId="0" borderId="31" xfId="0" applyBorder="1"/>
    <xf numFmtId="0" fontId="13" fillId="0" borderId="31" xfId="0" applyFont="1" applyBorder="1"/>
    <xf numFmtId="0" fontId="0" fillId="0" borderId="34" xfId="0" applyBorder="1"/>
    <xf numFmtId="0" fontId="45" fillId="2" borderId="2" xfId="0" applyFont="1" applyFill="1" applyBorder="1"/>
    <xf numFmtId="0" fontId="46" fillId="2" borderId="2" xfId="0" applyFont="1" applyFill="1" applyBorder="1"/>
    <xf numFmtId="0" fontId="1" fillId="0" borderId="46" xfId="0" applyFont="1" applyFill="1" applyBorder="1" applyAlignment="1">
      <alignment vertical="center"/>
    </xf>
    <xf numFmtId="0" fontId="6" fillId="0" borderId="0" xfId="0" applyFont="1" applyFill="1" applyBorder="1" applyAlignment="1">
      <alignment vertical="center"/>
    </xf>
    <xf numFmtId="184" fontId="0" fillId="0" borderId="47" xfId="0" applyNumberFormat="1" applyBorder="1" applyAlignment="1">
      <alignment horizontal="right" vertical="center"/>
    </xf>
    <xf numFmtId="184" fontId="0" fillId="0" borderId="52" xfId="0" applyNumberFormat="1" applyBorder="1" applyAlignment="1">
      <alignment horizontal="right" vertical="center"/>
    </xf>
    <xf numFmtId="184" fontId="1" fillId="0" borderId="47" xfId="0" applyNumberFormat="1" applyFont="1" applyBorder="1" applyAlignment="1">
      <alignment horizontal="right" vertical="center"/>
    </xf>
    <xf numFmtId="184" fontId="0" fillId="0" borderId="47" xfId="0" applyNumberFormat="1" applyBorder="1" applyAlignment="1">
      <alignment horizontal="right"/>
    </xf>
    <xf numFmtId="184" fontId="1" fillId="0" borderId="47" xfId="0" applyNumberFormat="1" applyFont="1" applyBorder="1" applyAlignment="1">
      <alignment vertical="center"/>
    </xf>
    <xf numFmtId="184" fontId="0" fillId="0" borderId="47" xfId="0" applyNumberFormat="1" applyBorder="1" applyAlignment="1">
      <alignment vertical="center"/>
    </xf>
    <xf numFmtId="184" fontId="10" fillId="0" borderId="50" xfId="0" applyNumberFormat="1" applyFont="1" applyBorder="1" applyAlignment="1">
      <alignment vertical="center"/>
    </xf>
    <xf numFmtId="185" fontId="18" fillId="7" borderId="6" xfId="0" applyNumberFormat="1" applyFont="1" applyFill="1" applyBorder="1" applyAlignment="1">
      <alignment horizontal="right" vertical="center"/>
    </xf>
    <xf numFmtId="185" fontId="18" fillId="0" borderId="6" xfId="0" applyNumberFormat="1" applyFont="1" applyBorder="1" applyAlignment="1">
      <alignment horizontal="right" vertical="center"/>
    </xf>
    <xf numFmtId="185" fontId="18" fillId="0" borderId="54" xfId="0" applyNumberFormat="1" applyFont="1" applyBorder="1" applyAlignment="1">
      <alignment horizontal="right" vertical="center"/>
    </xf>
    <xf numFmtId="185" fontId="18" fillId="7" borderId="47" xfId="0" applyNumberFormat="1" applyFont="1" applyFill="1" applyBorder="1" applyAlignment="1">
      <alignment horizontal="right" vertical="center"/>
    </xf>
    <xf numFmtId="185" fontId="18" fillId="0" borderId="47" xfId="0" applyNumberFormat="1" applyFont="1" applyBorder="1" applyAlignment="1">
      <alignment horizontal="right" vertical="center"/>
    </xf>
    <xf numFmtId="185" fontId="18" fillId="0" borderId="50" xfId="0" applyNumberFormat="1" applyFont="1" applyBorder="1" applyAlignment="1">
      <alignment horizontal="right" vertical="center"/>
    </xf>
    <xf numFmtId="0" fontId="4" fillId="2" borderId="0" xfId="0" applyFont="1" applyFill="1" applyBorder="1"/>
    <xf numFmtId="0" fontId="4" fillId="2" borderId="6" xfId="0" applyFont="1" applyFill="1" applyBorder="1"/>
    <xf numFmtId="0" fontId="17" fillId="2" borderId="2" xfId="8" applyFont="1" applyFill="1" applyBorder="1"/>
    <xf numFmtId="175" fontId="0" fillId="0" borderId="0" xfId="0" applyNumberFormat="1" applyFill="1" applyBorder="1" applyAlignment="1">
      <alignment horizontal="center"/>
    </xf>
    <xf numFmtId="0" fontId="0" fillId="0" borderId="0" xfId="0" applyFill="1" applyBorder="1" applyAlignment="1">
      <alignment vertical="center" wrapText="1"/>
    </xf>
    <xf numFmtId="0" fontId="9" fillId="0" borderId="0" xfId="0" applyFont="1" applyBorder="1" applyAlignment="1">
      <alignment vertical="top" wrapText="1"/>
    </xf>
    <xf numFmtId="172" fontId="0" fillId="6" borderId="27" xfId="0" applyNumberFormat="1" applyFill="1" applyBorder="1" applyAlignment="1" applyProtection="1">
      <alignment horizontal="center" vertical="center"/>
      <protection locked="0"/>
    </xf>
    <xf numFmtId="0" fontId="0" fillId="0" borderId="14" xfId="0" applyBorder="1"/>
    <xf numFmtId="49" fontId="0" fillId="6" borderId="12" xfId="0" applyNumberFormat="1" applyFill="1" applyBorder="1" applyAlignment="1" applyProtection="1">
      <alignment vertical="center"/>
      <protection locked="0"/>
    </xf>
    <xf numFmtId="0" fontId="1" fillId="0" borderId="30" xfId="0" applyFont="1" applyBorder="1" applyAlignment="1">
      <alignment horizontal="center" vertical="center" wrapText="1"/>
    </xf>
    <xf numFmtId="0" fontId="19" fillId="0" borderId="11" xfId="0" applyFont="1" applyBorder="1" applyAlignment="1">
      <alignment horizontal="center" vertical="center"/>
    </xf>
    <xf numFmtId="0" fontId="19" fillId="0" borderId="20" xfId="0" applyFont="1" applyBorder="1" applyAlignment="1">
      <alignment horizontal="center" vertical="center"/>
    </xf>
    <xf numFmtId="0" fontId="0" fillId="0" borderId="0" xfId="0" applyFill="1" applyBorder="1" applyAlignment="1">
      <alignment horizontal="center" vertical="center"/>
    </xf>
    <xf numFmtId="175" fontId="0" fillId="0" borderId="0" xfId="0" applyNumberFormat="1" applyFill="1" applyBorder="1" applyAlignment="1">
      <alignment horizontal="center" vertical="center"/>
    </xf>
    <xf numFmtId="0" fontId="1" fillId="0" borderId="0" xfId="0" applyFont="1" applyFill="1" applyBorder="1" applyAlignment="1"/>
    <xf numFmtId="0" fontId="39" fillId="0" borderId="63" xfId="0" applyFont="1" applyBorder="1" applyAlignment="1"/>
    <xf numFmtId="0" fontId="39" fillId="0" borderId="77" xfId="0" applyFont="1" applyBorder="1" applyAlignment="1"/>
    <xf numFmtId="0" fontId="24" fillId="0" borderId="11" xfId="0" applyFont="1" applyBorder="1" applyAlignment="1">
      <alignment vertical="top"/>
    </xf>
    <xf numFmtId="0" fontId="24" fillId="0" borderId="20" xfId="0" applyFont="1" applyBorder="1" applyAlignment="1">
      <alignment vertical="top"/>
    </xf>
    <xf numFmtId="0" fontId="0" fillId="0" borderId="0" xfId="0" applyAlignment="1">
      <alignment horizontal="right"/>
    </xf>
    <xf numFmtId="172" fontId="0" fillId="0" borderId="0" xfId="0" applyNumberFormat="1" applyFont="1" applyFill="1" applyBorder="1" applyAlignment="1">
      <alignment horizontal="center" vertical="center"/>
    </xf>
    <xf numFmtId="183" fontId="0" fillId="0" borderId="0" xfId="0" applyNumberFormat="1" applyBorder="1" applyAlignment="1">
      <alignment vertical="center"/>
    </xf>
    <xf numFmtId="0" fontId="19" fillId="0" borderId="0" xfId="0" applyFont="1" applyBorder="1" applyAlignment="1">
      <alignment vertical="center"/>
    </xf>
    <xf numFmtId="0" fontId="0" fillId="0" borderId="0" xfId="0" applyAlignment="1">
      <alignment horizontal="left"/>
    </xf>
    <xf numFmtId="0" fontId="9" fillId="0" borderId="0" xfId="0" applyFont="1" applyFill="1" applyBorder="1" applyAlignment="1">
      <alignment horizontal="center"/>
    </xf>
    <xf numFmtId="0" fontId="24" fillId="0" borderId="30" xfId="0" applyFont="1" applyBorder="1" applyAlignment="1">
      <alignment vertical="top"/>
    </xf>
    <xf numFmtId="0" fontId="9" fillId="0" borderId="11" xfId="0" applyFont="1" applyFill="1" applyBorder="1"/>
    <xf numFmtId="0" fontId="51" fillId="0" borderId="65" xfId="0" applyFont="1" applyFill="1" applyBorder="1" applyAlignment="1">
      <alignment vertical="center"/>
    </xf>
    <xf numFmtId="0" fontId="1" fillId="0" borderId="0" xfId="0" applyFont="1" applyBorder="1" applyAlignment="1">
      <alignment horizontal="left" wrapText="1"/>
    </xf>
    <xf numFmtId="0" fontId="1" fillId="0" borderId="0" xfId="0" applyFont="1" applyBorder="1" applyAlignment="1">
      <alignment horizontal="left" vertical="center" wrapText="1"/>
    </xf>
    <xf numFmtId="0" fontId="1" fillId="0" borderId="0" xfId="0" applyFont="1" applyFill="1" applyBorder="1" applyAlignment="1">
      <alignment horizontal="left" vertical="center" wrapText="1"/>
    </xf>
    <xf numFmtId="0" fontId="23" fillId="0" borderId="0" xfId="0" applyFont="1" applyBorder="1" applyAlignment="1">
      <alignment horizontal="left" wrapText="1"/>
    </xf>
    <xf numFmtId="0" fontId="0" fillId="0" borderId="0" xfId="0" applyBorder="1" applyAlignment="1">
      <alignment horizontal="right"/>
    </xf>
    <xf numFmtId="0" fontId="1" fillId="0" borderId="0" xfId="0" applyFont="1" applyBorder="1" applyAlignment="1">
      <alignment horizontal="center" vertical="center"/>
    </xf>
    <xf numFmtId="0" fontId="0" fillId="0" borderId="63" xfId="0" applyBorder="1"/>
    <xf numFmtId="0" fontId="0" fillId="0" borderId="19" xfId="0" applyBorder="1"/>
    <xf numFmtId="0" fontId="0" fillId="0" borderId="17" xfId="0" applyBorder="1"/>
    <xf numFmtId="0" fontId="52" fillId="0" borderId="0" xfId="0" applyFont="1" applyBorder="1" applyAlignment="1">
      <alignment horizontal="right"/>
    </xf>
    <xf numFmtId="0" fontId="0" fillId="0" borderId="30" xfId="0" applyBorder="1" applyAlignment="1">
      <alignment horizontal="right"/>
    </xf>
    <xf numFmtId="0" fontId="19" fillId="0" borderId="30" xfId="0" applyFont="1" applyBorder="1" applyAlignment="1">
      <alignment vertical="center"/>
    </xf>
    <xf numFmtId="0" fontId="0" fillId="0" borderId="30" xfId="0" applyFill="1" applyBorder="1"/>
    <xf numFmtId="0" fontId="23" fillId="0" borderId="30" xfId="0" applyFont="1" applyBorder="1" applyAlignment="1">
      <alignment horizontal="left" wrapText="1"/>
    </xf>
    <xf numFmtId="165" fontId="0" fillId="0" borderId="30" xfId="0" applyNumberFormat="1" applyFill="1" applyBorder="1"/>
    <xf numFmtId="0" fontId="0" fillId="0" borderId="15" xfId="0" applyFill="1" applyBorder="1"/>
    <xf numFmtId="0" fontId="0" fillId="0" borderId="21" xfId="0" applyBorder="1"/>
    <xf numFmtId="0" fontId="9" fillId="0" borderId="11" xfId="0" applyFont="1" applyBorder="1" applyAlignment="1">
      <alignment horizontal="center"/>
    </xf>
    <xf numFmtId="0" fontId="0" fillId="0" borderId="63" xfId="0" applyFill="1" applyBorder="1"/>
    <xf numFmtId="0" fontId="0" fillId="0" borderId="74" xfId="0" applyBorder="1"/>
    <xf numFmtId="0" fontId="0" fillId="0" borderId="79" xfId="0" applyBorder="1"/>
    <xf numFmtId="0" fontId="1" fillId="0" borderId="8" xfId="0" applyFont="1" applyBorder="1" applyAlignment="1">
      <alignment wrapText="1"/>
    </xf>
    <xf numFmtId="0" fontId="1" fillId="0" borderId="80" xfId="0" applyFont="1" applyBorder="1" applyAlignment="1">
      <alignment vertical="center" wrapText="1"/>
    </xf>
    <xf numFmtId="0" fontId="1" fillId="0" borderId="8" xfId="0" applyFont="1" applyBorder="1" applyAlignment="1">
      <alignment vertical="center" wrapText="1"/>
    </xf>
    <xf numFmtId="0" fontId="1" fillId="0" borderId="80" xfId="0" applyFont="1" applyBorder="1" applyAlignment="1">
      <alignment horizontal="left" vertical="center" wrapText="1"/>
    </xf>
    <xf numFmtId="0" fontId="0" fillId="0" borderId="80" xfId="0" applyBorder="1"/>
    <xf numFmtId="0" fontId="1" fillId="0" borderId="8" xfId="0" applyFont="1" applyFill="1" applyBorder="1" applyAlignment="1"/>
    <xf numFmtId="0" fontId="27" fillId="0" borderId="17" xfId="0" applyFont="1" applyBorder="1" applyAlignment="1">
      <alignment vertical="center"/>
    </xf>
    <xf numFmtId="0" fontId="0" fillId="0" borderId="63" xfId="0" applyBorder="1" applyAlignment="1">
      <alignment vertical="center"/>
    </xf>
    <xf numFmtId="0" fontId="0" fillId="0" borderId="49" xfId="0" applyFill="1" applyBorder="1"/>
    <xf numFmtId="0" fontId="0" fillId="0" borderId="0" xfId="0" applyAlignment="1">
      <alignment horizontal="right"/>
    </xf>
    <xf numFmtId="0" fontId="1" fillId="0" borderId="0" xfId="0" applyFont="1" applyBorder="1" applyAlignment="1">
      <alignment horizontal="left" vertical="center" wrapText="1"/>
    </xf>
    <xf numFmtId="0" fontId="1" fillId="0" borderId="0" xfId="0" applyFont="1" applyBorder="1" applyAlignment="1">
      <alignment horizontal="center" vertical="center"/>
    </xf>
    <xf numFmtId="0" fontId="0" fillId="0" borderId="0" xfId="0" applyBorder="1" applyAlignment="1">
      <alignment horizontal="right"/>
    </xf>
    <xf numFmtId="0" fontId="0" fillId="13" borderId="0" xfId="0" applyFill="1"/>
    <xf numFmtId="0" fontId="53" fillId="0" borderId="0" xfId="0" applyFont="1" applyBorder="1"/>
    <xf numFmtId="0" fontId="2" fillId="0" borderId="44" xfId="0" applyFont="1" applyBorder="1"/>
    <xf numFmtId="0" fontId="2" fillId="0" borderId="0" xfId="0" applyFont="1" applyBorder="1"/>
    <xf numFmtId="0" fontId="2" fillId="0" borderId="49" xfId="0" applyFont="1" applyBorder="1"/>
    <xf numFmtId="165" fontId="2" fillId="0" borderId="0" xfId="0" applyNumberFormat="1" applyFont="1" applyBorder="1"/>
    <xf numFmtId="0" fontId="2" fillId="0" borderId="0" xfId="0" applyFont="1" applyFill="1" applyBorder="1"/>
    <xf numFmtId="0" fontId="28" fillId="0" borderId="0" xfId="0" applyFont="1" applyFill="1" applyBorder="1"/>
    <xf numFmtId="0" fontId="2" fillId="0" borderId="0" xfId="0" applyFont="1" applyFill="1"/>
    <xf numFmtId="0" fontId="0" fillId="13" borderId="0" xfId="0" applyFill="1" applyAlignment="1">
      <alignment horizontal="right"/>
    </xf>
    <xf numFmtId="172" fontId="0" fillId="13" borderId="0" xfId="0" applyNumberFormat="1" applyFill="1"/>
    <xf numFmtId="7" fontId="0" fillId="0" borderId="27" xfId="9" applyNumberFormat="1" applyFont="1" applyBorder="1"/>
    <xf numFmtId="181" fontId="5" fillId="0" borderId="0" xfId="0" applyNumberFormat="1" applyFont="1" applyFill="1" applyBorder="1" applyAlignment="1" applyProtection="1">
      <alignment horizontal="right" vertical="center"/>
    </xf>
    <xf numFmtId="0" fontId="0" fillId="0" borderId="0" xfId="0" applyFont="1" applyBorder="1"/>
    <xf numFmtId="0" fontId="23" fillId="0" borderId="30" xfId="0" applyFont="1" applyBorder="1" applyAlignment="1">
      <alignment horizontal="center" vertical="center" wrapText="1"/>
    </xf>
    <xf numFmtId="0" fontId="51" fillId="0" borderId="0" xfId="0" applyFont="1" applyBorder="1" applyAlignment="1">
      <alignment vertical="top"/>
    </xf>
    <xf numFmtId="181" fontId="0" fillId="0" borderId="0" xfId="0" applyNumberFormat="1" applyAlignment="1">
      <alignment vertical="center"/>
    </xf>
    <xf numFmtId="0" fontId="51" fillId="0" borderId="0" xfId="0" applyFont="1" applyFill="1" applyBorder="1" applyAlignment="1">
      <alignment vertical="center"/>
    </xf>
    <xf numFmtId="0" fontId="24" fillId="0" borderId="8" xfId="0" applyFont="1" applyFill="1" applyBorder="1" applyAlignment="1">
      <alignment vertical="center"/>
    </xf>
    <xf numFmtId="0" fontId="48" fillId="0" borderId="46" xfId="0" applyFont="1" applyFill="1" applyBorder="1" applyAlignment="1">
      <alignment vertical="center" wrapText="1"/>
    </xf>
    <xf numFmtId="0" fontId="48" fillId="0" borderId="0" xfId="0" applyFont="1" applyFill="1" applyBorder="1" applyAlignment="1">
      <alignment vertical="center" wrapText="1"/>
    </xf>
    <xf numFmtId="0" fontId="0" fillId="0" borderId="46" xfId="0" applyFont="1" applyFill="1" applyBorder="1" applyAlignment="1">
      <alignment vertical="center" wrapText="1"/>
    </xf>
    <xf numFmtId="0" fontId="49" fillId="0" borderId="0" xfId="0" applyFont="1" applyFill="1" applyBorder="1" applyAlignment="1">
      <alignment vertical="center"/>
    </xf>
    <xf numFmtId="0" fontId="55" fillId="0" borderId="46" xfId="0" applyFont="1" applyFill="1" applyBorder="1" applyAlignment="1">
      <alignment horizontal="left" vertical="center" wrapText="1"/>
    </xf>
    <xf numFmtId="186" fontId="0" fillId="0" borderId="27" xfId="0" applyNumberFormat="1" applyBorder="1" applyAlignment="1">
      <alignment horizontal="center" vertical="center"/>
    </xf>
    <xf numFmtId="186" fontId="0" fillId="6" borderId="27" xfId="0" applyNumberFormat="1" applyFill="1" applyBorder="1" applyAlignment="1" applyProtection="1">
      <alignment horizontal="center"/>
      <protection locked="0"/>
    </xf>
    <xf numFmtId="0" fontId="0" fillId="0" borderId="0" xfId="0" applyBorder="1" applyAlignment="1">
      <alignment horizontal="right"/>
    </xf>
    <xf numFmtId="0" fontId="23" fillId="0" borderId="0" xfId="0" applyFont="1" applyBorder="1" applyAlignment="1">
      <alignment horizontal="center"/>
    </xf>
    <xf numFmtId="0" fontId="23" fillId="0" borderId="30" xfId="0" applyFont="1" applyBorder="1" applyAlignment="1">
      <alignment horizontal="center"/>
    </xf>
    <xf numFmtId="181" fontId="5" fillId="0" borderId="0" xfId="0" applyNumberFormat="1" applyFont="1" applyFill="1" applyBorder="1" applyAlignment="1" applyProtection="1">
      <alignment horizontal="right" vertical="center"/>
      <protection locked="0"/>
    </xf>
    <xf numFmtId="0" fontId="57" fillId="0" borderId="46" xfId="0" applyFont="1" applyFill="1" applyBorder="1" applyAlignment="1">
      <alignment vertical="center"/>
    </xf>
    <xf numFmtId="0" fontId="22" fillId="0" borderId="44" xfId="0" applyFont="1" applyBorder="1" applyAlignment="1">
      <alignment horizontal="center" vertical="center"/>
    </xf>
    <xf numFmtId="9" fontId="22" fillId="0" borderId="44" xfId="0" applyNumberFormat="1" applyFont="1" applyBorder="1" applyAlignment="1">
      <alignment horizontal="center" vertical="center"/>
    </xf>
    <xf numFmtId="0" fontId="23" fillId="0" borderId="11" xfId="0" applyFont="1" applyBorder="1" applyAlignment="1">
      <alignment horizontal="center"/>
    </xf>
    <xf numFmtId="0" fontId="23" fillId="0" borderId="20" xfId="0" applyFont="1" applyBorder="1" applyAlignment="1">
      <alignment horizontal="center"/>
    </xf>
    <xf numFmtId="0" fontId="23" fillId="0" borderId="8" xfId="0" applyFont="1" applyBorder="1" applyAlignment="1">
      <alignment horizontal="center"/>
    </xf>
    <xf numFmtId="0" fontId="23" fillId="0" borderId="80" xfId="0" applyFont="1" applyBorder="1" applyAlignment="1">
      <alignment horizontal="center"/>
    </xf>
    <xf numFmtId="0" fontId="9" fillId="0" borderId="8" xfId="0" applyFont="1" applyFill="1" applyBorder="1"/>
    <xf numFmtId="187" fontId="0" fillId="0" borderId="0" xfId="0" applyNumberFormat="1"/>
    <xf numFmtId="188" fontId="0" fillId="0" borderId="0" xfId="0" applyNumberFormat="1"/>
    <xf numFmtId="189" fontId="0" fillId="0" borderId="0" xfId="0" applyNumberFormat="1"/>
    <xf numFmtId="190" fontId="0" fillId="0" borderId="0" xfId="0" applyNumberFormat="1"/>
    <xf numFmtId="191" fontId="0" fillId="6" borderId="27" xfId="0" applyNumberFormat="1" applyFill="1" applyBorder="1" applyAlignment="1" applyProtection="1">
      <alignment horizontal="center" vertical="center"/>
      <protection locked="0"/>
    </xf>
    <xf numFmtId="1" fontId="0" fillId="6" borderId="27" xfId="0" applyNumberFormat="1" applyFill="1" applyBorder="1" applyAlignment="1" applyProtection="1">
      <alignment horizontal="center" vertical="center"/>
      <protection locked="0"/>
    </xf>
    <xf numFmtId="0" fontId="1" fillId="0" borderId="0" xfId="0" applyFont="1" applyBorder="1" applyAlignment="1">
      <alignment horizontal="center"/>
    </xf>
    <xf numFmtId="0" fontId="23" fillId="0" borderId="0" xfId="0" applyFont="1" applyBorder="1" applyAlignment="1">
      <alignment horizontal="center"/>
    </xf>
    <xf numFmtId="175" fontId="0" fillId="0" borderId="0" xfId="0" applyNumberFormat="1" applyFill="1" applyBorder="1" applyAlignment="1" applyProtection="1">
      <alignment horizontal="center" vertical="center"/>
    </xf>
    <xf numFmtId="0" fontId="1" fillId="0" borderId="0" xfId="0" applyFont="1" applyFill="1" applyBorder="1" applyAlignment="1">
      <alignment horizontal="left" vertical="center" wrapText="1"/>
    </xf>
    <xf numFmtId="0" fontId="23" fillId="0" borderId="0" xfId="0" applyFont="1" applyBorder="1" applyAlignment="1">
      <alignment horizontal="center"/>
    </xf>
    <xf numFmtId="0" fontId="23" fillId="0" borderId="30" xfId="0" applyFont="1" applyBorder="1" applyAlignment="1">
      <alignment horizontal="center"/>
    </xf>
    <xf numFmtId="0" fontId="1" fillId="0" borderId="0" xfId="0" applyFont="1" applyFill="1" applyBorder="1" applyAlignment="1">
      <alignment horizontal="left" vertical="center"/>
    </xf>
    <xf numFmtId="0" fontId="0" fillId="0" borderId="0" xfId="0" applyBorder="1" applyAlignment="1">
      <alignment horizontal="right"/>
    </xf>
    <xf numFmtId="0" fontId="19" fillId="0" borderId="0" xfId="0" applyFont="1" applyFill="1" applyBorder="1" applyAlignment="1">
      <alignment horizontal="center" vertical="center"/>
    </xf>
    <xf numFmtId="189" fontId="0" fillId="0" borderId="0" xfId="0" applyNumberFormat="1" applyFill="1"/>
    <xf numFmtId="0" fontId="59" fillId="2" borderId="2" xfId="8" applyFont="1" applyFill="1" applyBorder="1"/>
    <xf numFmtId="0" fontId="6" fillId="2" borderId="0" xfId="0" applyFont="1" applyFill="1" applyBorder="1"/>
    <xf numFmtId="0" fontId="6" fillId="2" borderId="2" xfId="0" applyFont="1" applyFill="1" applyBorder="1" applyAlignment="1">
      <alignment horizontal="left" vertical="top" wrapText="1"/>
    </xf>
    <xf numFmtId="0" fontId="6" fillId="2" borderId="0" xfId="0" applyFont="1" applyFill="1" applyBorder="1" applyAlignment="1">
      <alignment horizontal="left" vertical="top" wrapText="1"/>
    </xf>
    <xf numFmtId="0" fontId="6" fillId="2" borderId="6" xfId="0" applyFont="1" applyFill="1" applyBorder="1" applyAlignment="1">
      <alignment horizontal="left" vertical="top" wrapText="1"/>
    </xf>
    <xf numFmtId="0" fontId="6" fillId="2" borderId="7" xfId="0" applyFont="1" applyFill="1" applyBorder="1" applyAlignment="1">
      <alignment horizontal="left" vertical="top" wrapText="1"/>
    </xf>
    <xf numFmtId="0" fontId="6" fillId="2" borderId="8" xfId="0" applyFont="1" applyFill="1" applyBorder="1" applyAlignment="1">
      <alignment horizontal="left" vertical="top" wrapText="1"/>
    </xf>
    <xf numFmtId="0" fontId="6" fillId="2" borderId="9" xfId="0" applyFont="1" applyFill="1" applyBorder="1" applyAlignment="1">
      <alignment horizontal="left" vertical="top" wrapText="1"/>
    </xf>
    <xf numFmtId="0" fontId="9" fillId="2" borderId="2" xfId="0" applyFont="1" applyFill="1" applyBorder="1" applyAlignment="1">
      <alignment horizontal="left" vertical="center" wrapText="1"/>
    </xf>
    <xf numFmtId="0" fontId="9" fillId="2" borderId="0" xfId="0" applyFont="1" applyFill="1" applyBorder="1" applyAlignment="1">
      <alignment horizontal="left" vertical="center" wrapText="1"/>
    </xf>
    <xf numFmtId="0" fontId="9" fillId="2" borderId="6" xfId="0" applyFont="1" applyFill="1" applyBorder="1" applyAlignment="1">
      <alignment horizontal="left" vertical="center" wrapText="1"/>
    </xf>
    <xf numFmtId="0" fontId="9" fillId="2" borderId="7" xfId="0" applyFont="1" applyFill="1" applyBorder="1" applyAlignment="1">
      <alignment horizontal="left" vertical="center" wrapText="1"/>
    </xf>
    <xf numFmtId="0" fontId="9" fillId="2" borderId="8" xfId="0" applyFont="1" applyFill="1" applyBorder="1" applyAlignment="1">
      <alignment horizontal="left" vertical="center" wrapText="1"/>
    </xf>
    <xf numFmtId="0" fontId="9" fillId="2" borderId="9" xfId="0" applyFont="1" applyFill="1" applyBorder="1" applyAlignment="1">
      <alignment horizontal="left" vertical="center" wrapText="1"/>
    </xf>
    <xf numFmtId="0" fontId="48" fillId="0" borderId="46" xfId="0" applyFont="1" applyFill="1" applyBorder="1" applyAlignment="1">
      <alignment horizontal="left" vertical="center" wrapText="1"/>
    </xf>
    <xf numFmtId="0" fontId="48" fillId="0" borderId="0" xfId="0" applyFont="1" applyFill="1" applyBorder="1" applyAlignment="1">
      <alignment horizontal="left" vertical="center" wrapText="1"/>
    </xf>
    <xf numFmtId="0" fontId="48" fillId="0" borderId="48" xfId="0" applyFont="1" applyFill="1" applyBorder="1" applyAlignment="1">
      <alignment horizontal="left" vertical="center" wrapText="1"/>
    </xf>
    <xf numFmtId="0" fontId="48" fillId="0" borderId="49" xfId="0" applyFont="1" applyFill="1" applyBorder="1" applyAlignment="1">
      <alignment horizontal="left" vertical="center" wrapText="1"/>
    </xf>
    <xf numFmtId="0" fontId="24" fillId="0" borderId="46" xfId="0" applyFont="1" applyBorder="1" applyAlignment="1">
      <alignment horizontal="left" vertical="center" wrapText="1"/>
    </xf>
    <xf numFmtId="0" fontId="24" fillId="0" borderId="0" xfId="0" applyFont="1" applyBorder="1" applyAlignment="1">
      <alignment horizontal="left" vertical="center" wrapText="1"/>
    </xf>
    <xf numFmtId="185" fontId="18" fillId="0" borderId="58" xfId="0" applyNumberFormat="1" applyFont="1" applyBorder="1" applyAlignment="1">
      <alignment horizontal="right" vertical="center"/>
    </xf>
    <xf numFmtId="185" fontId="18" fillId="0" borderId="1" xfId="0" applyNumberFormat="1" applyFont="1" applyBorder="1" applyAlignment="1">
      <alignment horizontal="right" vertical="center"/>
    </xf>
    <xf numFmtId="185" fontId="18" fillId="0" borderId="60" xfId="0" applyNumberFormat="1" applyFont="1" applyFill="1" applyBorder="1" applyAlignment="1">
      <alignment horizontal="right" vertical="center"/>
    </xf>
    <xf numFmtId="185" fontId="18" fillId="0" borderId="61" xfId="0" applyNumberFormat="1" applyFont="1" applyFill="1" applyBorder="1" applyAlignment="1">
      <alignment horizontal="right" vertical="center"/>
    </xf>
    <xf numFmtId="0" fontId="6" fillId="9" borderId="0" xfId="0" applyFont="1" applyFill="1" applyBorder="1" applyAlignment="1">
      <alignment horizontal="left" vertical="top" wrapText="1"/>
    </xf>
    <xf numFmtId="0" fontId="15" fillId="0" borderId="15" xfId="0" applyFont="1" applyBorder="1" applyAlignment="1">
      <alignment horizontal="left" vertical="top" wrapText="1"/>
    </xf>
    <xf numFmtId="0" fontId="15" fillId="0" borderId="0" xfId="0" applyFont="1" applyBorder="1" applyAlignment="1">
      <alignment horizontal="left" vertical="top" wrapText="1"/>
    </xf>
    <xf numFmtId="0" fontId="15" fillId="0" borderId="30" xfId="0" applyFont="1" applyBorder="1" applyAlignment="1">
      <alignment horizontal="left" vertical="top" wrapText="1"/>
    </xf>
    <xf numFmtId="0" fontId="15" fillId="0" borderId="19" xfId="0" applyFont="1" applyBorder="1" applyAlignment="1">
      <alignment horizontal="left" vertical="top" wrapText="1"/>
    </xf>
    <xf numFmtId="0" fontId="15" fillId="0" borderId="11" xfId="0" applyFont="1" applyBorder="1" applyAlignment="1">
      <alignment horizontal="left" vertical="top" wrapText="1"/>
    </xf>
    <xf numFmtId="0" fontId="15" fillId="0" borderId="20" xfId="0" applyFont="1" applyBorder="1" applyAlignment="1">
      <alignment horizontal="left" vertical="top" wrapText="1"/>
    </xf>
    <xf numFmtId="181" fontId="22" fillId="0" borderId="44" xfId="0" applyNumberFormat="1" applyFont="1" applyBorder="1" applyAlignment="1">
      <alignment horizontal="center"/>
    </xf>
    <xf numFmtId="0" fontId="11" fillId="0" borderId="62" xfId="0" applyFont="1" applyBorder="1" applyAlignment="1">
      <alignment horizontal="center" vertical="center"/>
    </xf>
    <xf numFmtId="0" fontId="11" fillId="0" borderId="57" xfId="0" applyFont="1" applyBorder="1" applyAlignment="1">
      <alignment horizontal="center" vertical="center"/>
    </xf>
    <xf numFmtId="165" fontId="11" fillId="0" borderId="55" xfId="0" applyNumberFormat="1" applyFont="1" applyBorder="1" applyAlignment="1">
      <alignment horizontal="center" vertical="center"/>
    </xf>
    <xf numFmtId="165" fontId="11" fillId="0" borderId="54" xfId="0" applyNumberFormat="1" applyFont="1" applyBorder="1" applyAlignment="1">
      <alignment horizontal="center" vertical="center"/>
    </xf>
    <xf numFmtId="174" fontId="11" fillId="0" borderId="45" xfId="0" applyNumberFormat="1" applyFont="1" applyBorder="1" applyAlignment="1">
      <alignment horizontal="center" vertical="center"/>
    </xf>
    <xf numFmtId="174" fontId="11" fillId="0" borderId="50" xfId="0" applyNumberFormat="1" applyFont="1" applyBorder="1" applyAlignment="1">
      <alignment horizontal="center" vertical="center"/>
    </xf>
    <xf numFmtId="0" fontId="10" fillId="5" borderId="12" xfId="0" applyFont="1" applyFill="1" applyBorder="1" applyAlignment="1" applyProtection="1">
      <alignment horizontal="center" vertical="center"/>
      <protection locked="0"/>
    </xf>
    <xf numFmtId="0" fontId="10" fillId="5" borderId="13" xfId="0" applyFont="1" applyFill="1" applyBorder="1" applyAlignment="1" applyProtection="1">
      <alignment horizontal="center" vertical="center"/>
      <protection locked="0"/>
    </xf>
    <xf numFmtId="0" fontId="10" fillId="5" borderId="14" xfId="0" applyFont="1" applyFill="1" applyBorder="1" applyAlignment="1" applyProtection="1">
      <alignment horizontal="center" vertical="center"/>
      <protection locked="0"/>
    </xf>
    <xf numFmtId="0" fontId="0" fillId="6" borderId="12" xfId="0" applyFill="1" applyBorder="1" applyAlignment="1" applyProtection="1">
      <alignment horizontal="center" vertical="center"/>
      <protection locked="0"/>
    </xf>
    <xf numFmtId="0" fontId="0" fillId="6" borderId="13" xfId="0" applyFill="1" applyBorder="1" applyAlignment="1" applyProtection="1">
      <alignment horizontal="center" vertical="center"/>
      <protection locked="0"/>
    </xf>
    <xf numFmtId="0" fontId="0" fillId="6" borderId="66" xfId="0" applyFill="1" applyBorder="1" applyAlignment="1" applyProtection="1">
      <alignment horizontal="center" vertical="center"/>
      <protection locked="0"/>
    </xf>
    <xf numFmtId="0" fontId="4" fillId="6" borderId="17" xfId="0" applyFont="1" applyFill="1" applyBorder="1" applyAlignment="1" applyProtection="1">
      <alignment horizontal="center" vertical="center" wrapText="1"/>
      <protection locked="0"/>
    </xf>
    <xf numFmtId="0" fontId="4" fillId="6" borderId="63" xfId="0" applyFont="1" applyFill="1" applyBorder="1" applyAlignment="1" applyProtection="1">
      <alignment horizontal="center" vertical="center" wrapText="1"/>
      <protection locked="0"/>
    </xf>
    <xf numFmtId="0" fontId="4" fillId="6" borderId="67" xfId="0" applyFont="1" applyFill="1" applyBorder="1" applyAlignment="1" applyProtection="1">
      <alignment horizontal="center" vertical="center" wrapText="1"/>
      <protection locked="0"/>
    </xf>
    <xf numFmtId="0" fontId="4" fillId="6" borderId="74" xfId="0" applyFont="1" applyFill="1" applyBorder="1" applyAlignment="1" applyProtection="1">
      <alignment horizontal="center" vertical="center" wrapText="1"/>
      <protection locked="0"/>
    </xf>
    <xf numFmtId="0" fontId="4" fillId="6" borderId="49" xfId="0" applyFont="1" applyFill="1" applyBorder="1" applyAlignment="1" applyProtection="1">
      <alignment horizontal="center" vertical="center" wrapText="1"/>
      <protection locked="0"/>
    </xf>
    <xf numFmtId="0" fontId="4" fillId="6" borderId="50" xfId="0" applyFont="1" applyFill="1" applyBorder="1" applyAlignment="1" applyProtection="1">
      <alignment horizontal="center" vertical="center" wrapText="1"/>
      <protection locked="0"/>
    </xf>
    <xf numFmtId="0" fontId="38" fillId="0" borderId="0" xfId="0" applyFont="1" applyBorder="1" applyAlignment="1">
      <alignment horizontal="left" vertical="center" wrapText="1"/>
    </xf>
    <xf numFmtId="166" fontId="4" fillId="5" borderId="12" xfId="0" applyNumberFormat="1" applyFont="1" applyFill="1" applyBorder="1" applyAlignment="1" applyProtection="1">
      <alignment horizontal="center" vertical="center"/>
      <protection locked="0"/>
    </xf>
    <xf numFmtId="166" fontId="4" fillId="5" borderId="13" xfId="0" applyNumberFormat="1" applyFont="1" applyFill="1" applyBorder="1" applyAlignment="1" applyProtection="1">
      <alignment horizontal="center" vertical="center"/>
      <protection locked="0"/>
    </xf>
    <xf numFmtId="166" fontId="4" fillId="5" borderId="14" xfId="0" applyNumberFormat="1" applyFont="1" applyFill="1" applyBorder="1" applyAlignment="1" applyProtection="1">
      <alignment horizontal="center" vertical="center"/>
      <protection locked="0"/>
    </xf>
    <xf numFmtId="0" fontId="1" fillId="0" borderId="44" xfId="0" applyFont="1" applyFill="1" applyBorder="1" applyAlignment="1">
      <alignment horizontal="right" vertical="center"/>
    </xf>
    <xf numFmtId="0" fontId="6" fillId="9" borderId="0" xfId="0" applyFont="1" applyFill="1" applyBorder="1" applyAlignment="1">
      <alignment horizontal="right" vertical="center"/>
    </xf>
    <xf numFmtId="0" fontId="1" fillId="0" borderId="3" xfId="0" applyFont="1" applyFill="1" applyBorder="1" applyAlignment="1">
      <alignment horizontal="center" vertical="center"/>
    </xf>
    <xf numFmtId="0" fontId="1" fillId="0" borderId="4" xfId="0" applyFont="1" applyFill="1" applyBorder="1" applyAlignment="1">
      <alignment horizontal="center" vertical="center"/>
    </xf>
    <xf numFmtId="0" fontId="1" fillId="0" borderId="7" xfId="0" applyFont="1" applyFill="1" applyBorder="1" applyAlignment="1">
      <alignment horizontal="center" vertical="center"/>
    </xf>
    <xf numFmtId="0" fontId="1" fillId="0" borderId="8"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0" xfId="0" applyFont="1" applyFill="1" applyBorder="1" applyAlignment="1">
      <alignment horizontal="left" vertical="center" wrapText="1"/>
    </xf>
    <xf numFmtId="0" fontId="1" fillId="0" borderId="6" xfId="0" applyFont="1" applyFill="1" applyBorder="1" applyAlignment="1">
      <alignment horizontal="left" vertical="center" wrapText="1"/>
    </xf>
    <xf numFmtId="0" fontId="1" fillId="0" borderId="0" xfId="0" applyFont="1" applyBorder="1" applyAlignment="1">
      <alignment horizontal="left" vertical="center" wrapText="1"/>
    </xf>
    <xf numFmtId="0" fontId="1" fillId="0" borderId="6" xfId="0" applyFont="1" applyBorder="1" applyAlignment="1">
      <alignment horizontal="left" vertical="center" wrapText="1"/>
    </xf>
    <xf numFmtId="0" fontId="1" fillId="0" borderId="2" xfId="0" applyFont="1" applyBorder="1" applyAlignment="1">
      <alignment horizontal="center" vertical="center"/>
    </xf>
    <xf numFmtId="0" fontId="1" fillId="0" borderId="0" xfId="0" applyFont="1" applyBorder="1" applyAlignment="1">
      <alignment horizontal="left" wrapText="1"/>
    </xf>
    <xf numFmtId="0" fontId="1" fillId="0" borderId="6" xfId="0" applyFont="1" applyBorder="1" applyAlignment="1">
      <alignment horizontal="left" wrapText="1"/>
    </xf>
    <xf numFmtId="0" fontId="1" fillId="0" borderId="2" xfId="0" applyFont="1" applyBorder="1" applyAlignment="1">
      <alignment horizontal="center" vertical="center" wrapText="1"/>
    </xf>
    <xf numFmtId="0" fontId="1" fillId="0" borderId="0" xfId="0" applyFont="1" applyBorder="1" applyAlignment="1">
      <alignment horizontal="left" vertical="center"/>
    </xf>
    <xf numFmtId="0" fontId="1" fillId="0" borderId="6" xfId="0" applyFont="1" applyBorder="1" applyAlignment="1">
      <alignment horizontal="left" vertical="center"/>
    </xf>
    <xf numFmtId="0" fontId="23" fillId="0" borderId="64" xfId="0" applyFont="1" applyBorder="1" applyAlignment="1">
      <alignment horizontal="left" vertical="center" wrapText="1"/>
    </xf>
    <xf numFmtId="172" fontId="0" fillId="0" borderId="0" xfId="0" applyNumberFormat="1" applyFont="1" applyFill="1" applyBorder="1" applyAlignment="1">
      <alignment horizontal="center" vertical="center"/>
    </xf>
    <xf numFmtId="3" fontId="0" fillId="0" borderId="0" xfId="0" applyNumberFormat="1" applyFont="1" applyFill="1" applyBorder="1" applyAlignment="1">
      <alignment horizontal="left" vertical="center" wrapText="1"/>
    </xf>
    <xf numFmtId="175" fontId="19" fillId="6" borderId="16" xfId="0" applyNumberFormat="1" applyFont="1" applyFill="1" applyBorder="1" applyAlignment="1" applyProtection="1">
      <alignment horizontal="center" vertical="center"/>
      <protection locked="0"/>
    </xf>
    <xf numFmtId="175" fontId="19" fillId="6" borderId="18" xfId="0" applyNumberFormat="1" applyFont="1" applyFill="1" applyBorder="1" applyAlignment="1" applyProtection="1">
      <alignment horizontal="center" vertical="center"/>
      <protection locked="0"/>
    </xf>
    <xf numFmtId="165" fontId="19" fillId="0" borderId="16" xfId="0" applyNumberFormat="1" applyFont="1" applyFill="1" applyBorder="1" applyAlignment="1">
      <alignment horizontal="center" vertical="center"/>
    </xf>
    <xf numFmtId="165" fontId="19" fillId="0" borderId="18" xfId="0" applyNumberFormat="1" applyFont="1" applyFill="1" applyBorder="1" applyAlignment="1">
      <alignment horizontal="center" vertical="center"/>
    </xf>
    <xf numFmtId="170" fontId="23" fillId="0" borderId="0" xfId="0" applyNumberFormat="1" applyFont="1" applyFill="1" applyBorder="1" applyAlignment="1">
      <alignment horizontal="center" vertical="center"/>
    </xf>
    <xf numFmtId="3" fontId="0" fillId="0" borderId="0" xfId="0" applyNumberFormat="1" applyFont="1" applyFill="1" applyBorder="1" applyAlignment="1">
      <alignment horizontal="left" vertical="center"/>
    </xf>
    <xf numFmtId="175" fontId="0" fillId="0" borderId="0" xfId="0" applyNumberFormat="1" applyFill="1" applyBorder="1" applyAlignment="1">
      <alignment horizontal="center" vertical="center"/>
    </xf>
    <xf numFmtId="175" fontId="14" fillId="6" borderId="16" xfId="0" applyNumberFormat="1" applyFont="1" applyFill="1" applyBorder="1" applyAlignment="1" applyProtection="1">
      <alignment horizontal="center" vertical="center"/>
      <protection locked="0"/>
    </xf>
    <xf numFmtId="175" fontId="14" fillId="6" borderId="18" xfId="0" applyNumberFormat="1" applyFont="1" applyFill="1" applyBorder="1" applyAlignment="1" applyProtection="1">
      <alignment horizontal="center" vertical="center"/>
      <protection locked="0"/>
    </xf>
    <xf numFmtId="0" fontId="0" fillId="0" borderId="0" xfId="0" applyFill="1" applyBorder="1" applyAlignment="1">
      <alignment horizontal="center" vertical="center"/>
    </xf>
    <xf numFmtId="0" fontId="0" fillId="0" borderId="0" xfId="0" applyAlignment="1">
      <alignment horizontal="center"/>
    </xf>
    <xf numFmtId="3" fontId="0" fillId="0" borderId="0" xfId="0" applyNumberFormat="1" applyFont="1" applyFill="1" applyBorder="1" applyAlignment="1">
      <alignment horizontal="center" vertical="center"/>
    </xf>
    <xf numFmtId="0" fontId="5" fillId="0" borderId="64" xfId="0" applyFont="1" applyBorder="1" applyAlignment="1">
      <alignment horizontal="left" vertical="center" wrapText="1"/>
    </xf>
    <xf numFmtId="3" fontId="23" fillId="0" borderId="64" xfId="0" applyNumberFormat="1" applyFont="1" applyFill="1" applyBorder="1" applyAlignment="1">
      <alignment horizontal="left" vertical="center"/>
    </xf>
    <xf numFmtId="175" fontId="19" fillId="9" borderId="16" xfId="0" applyNumberFormat="1" applyFont="1" applyFill="1" applyBorder="1" applyAlignment="1" applyProtection="1">
      <alignment horizontal="center" vertical="center"/>
    </xf>
    <xf numFmtId="175" fontId="19" fillId="9" borderId="18" xfId="0" applyNumberFormat="1" applyFont="1" applyFill="1" applyBorder="1" applyAlignment="1" applyProtection="1">
      <alignment horizontal="center" vertical="center"/>
    </xf>
    <xf numFmtId="3" fontId="0" fillId="0" borderId="30" xfId="0" applyNumberFormat="1" applyFont="1" applyFill="1" applyBorder="1" applyAlignment="1">
      <alignment horizontal="center" vertical="center"/>
    </xf>
    <xf numFmtId="171" fontId="0" fillId="0" borderId="0" xfId="0" applyNumberFormat="1" applyFont="1" applyFill="1" applyBorder="1" applyAlignment="1">
      <alignment horizontal="center" vertical="center"/>
    </xf>
    <xf numFmtId="0" fontId="23" fillId="0" borderId="7" xfId="0" applyFont="1" applyFill="1" applyBorder="1" applyAlignment="1">
      <alignment horizontal="center" vertical="center"/>
    </xf>
    <xf numFmtId="0" fontId="23" fillId="0" borderId="8" xfId="0" applyFont="1" applyFill="1" applyBorder="1" applyAlignment="1">
      <alignment horizontal="center" vertical="center"/>
    </xf>
    <xf numFmtId="172" fontId="0" fillId="0" borderId="2" xfId="0" applyNumberFormat="1" applyFont="1" applyFill="1" applyBorder="1" applyAlignment="1">
      <alignment horizontal="center" vertical="center"/>
    </xf>
    <xf numFmtId="0" fontId="0" fillId="0" borderId="0" xfId="0" applyBorder="1" applyAlignment="1">
      <alignment horizontal="center" vertical="center"/>
    </xf>
    <xf numFmtId="0" fontId="25" fillId="0" borderId="0" xfId="0" applyFont="1" applyFill="1" applyBorder="1" applyAlignment="1">
      <alignment horizontal="center" vertical="center"/>
    </xf>
    <xf numFmtId="0" fontId="25" fillId="0" borderId="49" xfId="0" applyFont="1" applyFill="1" applyBorder="1" applyAlignment="1">
      <alignment horizontal="center" vertical="center"/>
    </xf>
    <xf numFmtId="0" fontId="26" fillId="0" borderId="46" xfId="0" applyFont="1" applyBorder="1" applyAlignment="1">
      <alignment horizontal="center" vertical="center" wrapText="1"/>
    </xf>
    <xf numFmtId="0" fontId="26" fillId="0" borderId="0" xfId="0" applyFont="1" applyBorder="1" applyAlignment="1">
      <alignment horizontal="center" vertical="center" wrapText="1"/>
    </xf>
    <xf numFmtId="0" fontId="26" fillId="0" borderId="48" xfId="0" applyFont="1" applyBorder="1" applyAlignment="1">
      <alignment horizontal="center" vertical="center" wrapText="1"/>
    </xf>
    <xf numFmtId="0" fontId="26" fillId="0" borderId="49" xfId="0" applyFont="1" applyBorder="1" applyAlignment="1">
      <alignment horizontal="center" vertical="center" wrapText="1"/>
    </xf>
    <xf numFmtId="165" fontId="10" fillId="0" borderId="0" xfId="0" applyNumberFormat="1" applyFont="1" applyFill="1" applyBorder="1" applyAlignment="1">
      <alignment horizontal="center" vertical="center"/>
    </xf>
    <xf numFmtId="165" fontId="10" fillId="0" borderId="49" xfId="0" applyNumberFormat="1" applyFont="1" applyFill="1" applyBorder="1" applyAlignment="1">
      <alignment horizontal="center" vertical="center"/>
    </xf>
    <xf numFmtId="0" fontId="0" fillId="0" borderId="8" xfId="0" applyFill="1" applyBorder="1" applyAlignment="1">
      <alignment horizontal="center" vertical="center"/>
    </xf>
    <xf numFmtId="175" fontId="0" fillId="0" borderId="0" xfId="0" applyNumberFormat="1" applyFont="1" applyFill="1" applyBorder="1" applyAlignment="1">
      <alignment horizontal="center" vertical="center"/>
    </xf>
    <xf numFmtId="0" fontId="0" fillId="0" borderId="0" xfId="0" applyBorder="1" applyAlignment="1">
      <alignment horizontal="left" wrapText="1"/>
    </xf>
    <xf numFmtId="186" fontId="19" fillId="9" borderId="16" xfId="0" applyNumberFormat="1" applyFont="1" applyFill="1" applyBorder="1" applyAlignment="1" applyProtection="1">
      <alignment horizontal="center" vertical="center"/>
    </xf>
    <xf numFmtId="186" fontId="19" fillId="9" borderId="18" xfId="0" applyNumberFormat="1" applyFont="1" applyFill="1" applyBorder="1" applyAlignment="1" applyProtection="1">
      <alignment horizontal="center" vertical="center"/>
    </xf>
    <xf numFmtId="0" fontId="0" fillId="0" borderId="3" xfId="0" applyFill="1" applyBorder="1" applyAlignment="1">
      <alignment horizontal="center" vertical="center"/>
    </xf>
    <xf numFmtId="0" fontId="0" fillId="0" borderId="4" xfId="0" applyFill="1" applyBorder="1" applyAlignment="1">
      <alignment horizontal="center" vertical="center"/>
    </xf>
    <xf numFmtId="0" fontId="0" fillId="0" borderId="0" xfId="0" applyAlignment="1">
      <alignment horizontal="right"/>
    </xf>
    <xf numFmtId="0" fontId="50" fillId="0" borderId="61" xfId="0" applyFont="1" applyFill="1" applyBorder="1" applyAlignment="1">
      <alignment horizontal="left" vertical="center" wrapText="1"/>
    </xf>
    <xf numFmtId="0" fontId="14" fillId="0" borderId="75" xfId="0" applyFont="1" applyFill="1" applyBorder="1" applyAlignment="1">
      <alignment horizontal="center" vertical="center"/>
    </xf>
    <xf numFmtId="0" fontId="14" fillId="0" borderId="76" xfId="0" applyFont="1" applyFill="1" applyBorder="1" applyAlignment="1">
      <alignment horizontal="center" vertical="center"/>
    </xf>
    <xf numFmtId="0" fontId="0" fillId="0" borderId="0" xfId="0" applyFill="1" applyBorder="1" applyAlignment="1">
      <alignment horizontal="center" vertical="center" wrapText="1"/>
    </xf>
    <xf numFmtId="0" fontId="0" fillId="0" borderId="6" xfId="0" applyFill="1" applyBorder="1" applyAlignment="1">
      <alignment horizontal="center" vertical="center" wrapText="1"/>
    </xf>
    <xf numFmtId="175" fontId="19" fillId="6" borderId="29" xfId="0" applyNumberFormat="1" applyFont="1" applyFill="1" applyBorder="1" applyAlignment="1" applyProtection="1">
      <alignment horizontal="center" vertical="center"/>
      <protection locked="0"/>
    </xf>
    <xf numFmtId="165" fontId="19" fillId="0" borderId="29" xfId="0" applyNumberFormat="1" applyFont="1" applyFill="1" applyBorder="1" applyAlignment="1">
      <alignment horizontal="center" vertical="center"/>
    </xf>
    <xf numFmtId="0" fontId="1" fillId="0" borderId="68" xfId="0" applyFont="1" applyBorder="1" applyAlignment="1">
      <alignment horizontal="center" vertical="center"/>
    </xf>
    <xf numFmtId="0" fontId="1" fillId="0" borderId="65" xfId="0" applyFont="1" applyBorder="1" applyAlignment="1">
      <alignment horizontal="center" vertical="center"/>
    </xf>
    <xf numFmtId="175" fontId="14" fillId="6" borderId="29" xfId="0" applyNumberFormat="1" applyFont="1" applyFill="1" applyBorder="1" applyAlignment="1" applyProtection="1">
      <alignment horizontal="center" vertical="center"/>
      <protection locked="0"/>
    </xf>
    <xf numFmtId="3" fontId="23" fillId="0" borderId="64" xfId="0" applyNumberFormat="1" applyFont="1" applyFill="1" applyBorder="1" applyAlignment="1">
      <alignment horizontal="left" vertical="center" wrapText="1"/>
    </xf>
    <xf numFmtId="0" fontId="1" fillId="0" borderId="5" xfId="0" applyFont="1" applyFill="1" applyBorder="1" applyAlignment="1">
      <alignment horizontal="center" vertical="center" wrapText="1"/>
    </xf>
    <xf numFmtId="0" fontId="1" fillId="0" borderId="9" xfId="0" applyFont="1" applyFill="1" applyBorder="1" applyAlignment="1">
      <alignment horizontal="center" vertical="center" wrapText="1"/>
    </xf>
    <xf numFmtId="175" fontId="0" fillId="0" borderId="12" xfId="0" applyNumberFormat="1" applyBorder="1" applyAlignment="1">
      <alignment horizontal="center"/>
    </xf>
    <xf numFmtId="175" fontId="0" fillId="0" borderId="14" xfId="0" applyNumberFormat="1" applyBorder="1" applyAlignment="1">
      <alignment horizontal="center"/>
    </xf>
    <xf numFmtId="0" fontId="23" fillId="0" borderId="0" xfId="0" applyFont="1" applyBorder="1" applyAlignment="1">
      <alignment horizontal="center"/>
    </xf>
    <xf numFmtId="0" fontId="23" fillId="0" borderId="30" xfId="0" applyFont="1" applyBorder="1" applyAlignment="1">
      <alignment horizontal="center"/>
    </xf>
    <xf numFmtId="175" fontId="0" fillId="0" borderId="12" xfId="0" applyNumberFormat="1" applyBorder="1" applyAlignment="1">
      <alignment horizontal="center" vertical="center"/>
    </xf>
    <xf numFmtId="175" fontId="0" fillId="0" borderId="14" xfId="0" applyNumberFormat="1" applyBorder="1" applyAlignment="1">
      <alignment horizontal="center" vertical="center"/>
    </xf>
    <xf numFmtId="0" fontId="1" fillId="0" borderId="0" xfId="0" applyFont="1" applyBorder="1" applyAlignment="1">
      <alignment horizontal="center" wrapText="1"/>
    </xf>
    <xf numFmtId="0" fontId="1" fillId="0" borderId="11" xfId="0" applyFont="1" applyBorder="1" applyAlignment="1">
      <alignment horizontal="center" wrapText="1"/>
    </xf>
    <xf numFmtId="0" fontId="1" fillId="0" borderId="30" xfId="0" applyFont="1" applyBorder="1" applyAlignment="1">
      <alignment horizontal="center" vertical="center" wrapText="1"/>
    </xf>
    <xf numFmtId="0" fontId="1" fillId="0" borderId="20" xfId="0" applyFont="1" applyBorder="1" applyAlignment="1">
      <alignment horizontal="center" vertical="center" wrapText="1"/>
    </xf>
    <xf numFmtId="0" fontId="1" fillId="0" borderId="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30" xfId="0" applyFont="1" applyBorder="1" applyAlignment="1">
      <alignment horizontal="left" vertical="center" wrapText="1"/>
    </xf>
    <xf numFmtId="0" fontId="1" fillId="0" borderId="20" xfId="0" applyFont="1" applyBorder="1" applyAlignment="1">
      <alignment horizontal="left" vertical="center" wrapText="1"/>
    </xf>
    <xf numFmtId="0" fontId="38" fillId="0" borderId="0" xfId="0" applyFont="1" applyBorder="1" applyAlignment="1">
      <alignment horizontal="left" wrapText="1"/>
    </xf>
    <xf numFmtId="0" fontId="38" fillId="0" borderId="30" xfId="0" applyFont="1" applyBorder="1" applyAlignment="1">
      <alignment horizontal="left" wrapText="1"/>
    </xf>
    <xf numFmtId="0" fontId="23" fillId="0" borderId="0" xfId="0" applyFont="1" applyBorder="1" applyAlignment="1">
      <alignment horizontal="left" wrapText="1"/>
    </xf>
    <xf numFmtId="0" fontId="0" fillId="0" borderId="0" xfId="0" applyBorder="1" applyAlignment="1">
      <alignment horizontal="center" wrapText="1"/>
    </xf>
    <xf numFmtId="0" fontId="0" fillId="0" borderId="11" xfId="0" applyBorder="1" applyAlignment="1">
      <alignment horizontal="center" wrapText="1"/>
    </xf>
    <xf numFmtId="0" fontId="0" fillId="0" borderId="30" xfId="0" applyBorder="1" applyAlignment="1">
      <alignment horizontal="center" wrapText="1"/>
    </xf>
    <xf numFmtId="0" fontId="0" fillId="0" borderId="20" xfId="0" applyBorder="1" applyAlignment="1">
      <alignment horizontal="center" wrapText="1"/>
    </xf>
    <xf numFmtId="0" fontId="1" fillId="0" borderId="11" xfId="0" applyFont="1" applyBorder="1" applyAlignment="1">
      <alignment horizontal="left" wrapText="1"/>
    </xf>
    <xf numFmtId="0" fontId="0" fillId="0" borderId="12" xfId="0" applyBorder="1" applyAlignment="1">
      <alignment horizontal="center"/>
    </xf>
    <xf numFmtId="0" fontId="0" fillId="0" borderId="14" xfId="0" applyBorder="1" applyAlignment="1">
      <alignment horizontal="center"/>
    </xf>
    <xf numFmtId="0" fontId="1" fillId="0" borderId="0" xfId="0" applyFont="1" applyFill="1" applyBorder="1" applyAlignment="1">
      <alignment horizontal="left" vertical="center"/>
    </xf>
    <xf numFmtId="0" fontId="0" fillId="5" borderId="12" xfId="0" applyFill="1" applyBorder="1" applyAlignment="1" applyProtection="1">
      <alignment horizontal="center"/>
      <protection locked="0"/>
    </xf>
    <xf numFmtId="0" fontId="0" fillId="5" borderId="14" xfId="0" applyFill="1" applyBorder="1" applyAlignment="1" applyProtection="1">
      <alignment horizontal="center"/>
      <protection locked="0"/>
    </xf>
    <xf numFmtId="0" fontId="9" fillId="0" borderId="0" xfId="0" applyFont="1" applyFill="1" applyBorder="1" applyAlignment="1" applyProtection="1">
      <alignment horizontal="left"/>
      <protection locked="0"/>
    </xf>
    <xf numFmtId="0" fontId="1" fillId="0" borderId="30" xfId="0" applyFont="1" applyBorder="1" applyAlignment="1">
      <alignment horizontal="center" wrapText="1"/>
    </xf>
    <xf numFmtId="0" fontId="1" fillId="0" borderId="20" xfId="0" applyFont="1" applyBorder="1" applyAlignment="1">
      <alignment horizontal="center" wrapText="1"/>
    </xf>
    <xf numFmtId="0" fontId="1" fillId="0" borderId="0" xfId="0" applyFont="1" applyBorder="1" applyAlignment="1">
      <alignment horizontal="center" vertical="center"/>
    </xf>
    <xf numFmtId="0" fontId="1" fillId="0" borderId="11" xfId="0" applyFont="1" applyBorder="1" applyAlignment="1">
      <alignment horizontal="center" vertical="center"/>
    </xf>
    <xf numFmtId="0" fontId="23" fillId="0" borderId="0" xfId="0" applyFont="1" applyFill="1" applyBorder="1" applyAlignment="1" applyProtection="1">
      <alignment horizontal="center"/>
    </xf>
    <xf numFmtId="0" fontId="23" fillId="0" borderId="30" xfId="0" applyFont="1" applyFill="1" applyBorder="1" applyAlignment="1" applyProtection="1">
      <alignment horizontal="center"/>
    </xf>
    <xf numFmtId="0" fontId="19" fillId="0" borderId="0" xfId="0" applyFont="1" applyBorder="1" applyAlignment="1">
      <alignment horizontal="center" vertical="center"/>
    </xf>
    <xf numFmtId="0" fontId="19" fillId="0" borderId="8" xfId="0" applyFont="1" applyBorder="1" applyAlignment="1">
      <alignment horizontal="center" vertical="center"/>
    </xf>
    <xf numFmtId="0" fontId="19" fillId="0" borderId="0" xfId="0" applyFont="1" applyBorder="1" applyAlignment="1">
      <alignment horizontal="left" wrapText="1"/>
    </xf>
    <xf numFmtId="0" fontId="19" fillId="0" borderId="8" xfId="0" applyFont="1" applyBorder="1" applyAlignment="1">
      <alignment horizontal="left" wrapText="1"/>
    </xf>
    <xf numFmtId="0" fontId="19" fillId="0" borderId="0" xfId="0" applyFont="1" applyBorder="1" applyAlignment="1">
      <alignment horizontal="left" vertical="center" wrapText="1"/>
    </xf>
    <xf numFmtId="0" fontId="19" fillId="0" borderId="8" xfId="0" applyFont="1" applyBorder="1" applyAlignment="1">
      <alignment horizontal="left" vertical="center" wrapText="1"/>
    </xf>
    <xf numFmtId="0" fontId="0" fillId="0" borderId="0" xfId="0" applyBorder="1" applyAlignment="1">
      <alignment horizontal="right"/>
    </xf>
    <xf numFmtId="0" fontId="19" fillId="0" borderId="0" xfId="0" applyFont="1" applyFill="1" applyBorder="1" applyAlignment="1">
      <alignment horizontal="left" vertical="center"/>
    </xf>
    <xf numFmtId="0" fontId="19" fillId="0" borderId="8" xfId="0" applyFont="1" applyFill="1" applyBorder="1" applyAlignment="1">
      <alignment horizontal="left" vertical="center"/>
    </xf>
    <xf numFmtId="0" fontId="23" fillId="0" borderId="30" xfId="0" applyFont="1" applyBorder="1" applyAlignment="1">
      <alignment horizontal="left" wrapText="1"/>
    </xf>
    <xf numFmtId="175" fontId="38" fillId="0" borderId="0" xfId="0" applyNumberFormat="1" applyFont="1" applyBorder="1" applyAlignment="1">
      <alignment horizontal="center" vertical="center"/>
    </xf>
    <xf numFmtId="175" fontId="38" fillId="0" borderId="30" xfId="0" applyNumberFormat="1" applyFont="1" applyBorder="1" applyAlignment="1">
      <alignment horizontal="center" vertical="center"/>
    </xf>
    <xf numFmtId="0" fontId="23" fillId="0" borderId="63" xfId="0" applyFont="1" applyBorder="1" applyAlignment="1">
      <alignment horizontal="center"/>
    </xf>
    <xf numFmtId="0" fontId="23" fillId="0" borderId="77" xfId="0" applyFont="1" applyBorder="1" applyAlignment="1">
      <alignment horizontal="center"/>
    </xf>
    <xf numFmtId="165" fontId="10" fillId="0" borderId="0" xfId="0" applyNumberFormat="1" applyFont="1" applyBorder="1" applyAlignment="1">
      <alignment horizontal="center" vertical="center"/>
    </xf>
    <xf numFmtId="165" fontId="10" fillId="0" borderId="30" xfId="0" applyNumberFormat="1" applyFont="1" applyBorder="1" applyAlignment="1">
      <alignment horizontal="center" vertical="center"/>
    </xf>
    <xf numFmtId="0" fontId="1" fillId="0" borderId="8" xfId="0" applyFont="1" applyBorder="1" applyAlignment="1">
      <alignment horizontal="center" vertical="center"/>
    </xf>
    <xf numFmtId="0" fontId="1" fillId="0" borderId="8" xfId="0" applyFont="1" applyBorder="1" applyAlignment="1">
      <alignment horizontal="left" vertical="center" wrapText="1"/>
    </xf>
    <xf numFmtId="0" fontId="1" fillId="0" borderId="0" xfId="0" applyFont="1" applyFill="1" applyBorder="1" applyAlignment="1">
      <alignment horizontal="center" vertical="center"/>
    </xf>
    <xf numFmtId="0" fontId="23" fillId="0" borderId="63" xfId="0" applyFont="1" applyBorder="1" applyAlignment="1">
      <alignment horizontal="center" wrapText="1"/>
    </xf>
    <xf numFmtId="0" fontId="23" fillId="0" borderId="77" xfId="0" applyFont="1" applyBorder="1" applyAlignment="1">
      <alignment horizontal="center" wrapText="1"/>
    </xf>
    <xf numFmtId="0" fontId="23" fillId="0" borderId="8" xfId="0" applyFont="1" applyBorder="1" applyAlignment="1">
      <alignment horizontal="center" wrapText="1"/>
    </xf>
    <xf numFmtId="0" fontId="23" fillId="0" borderId="80" xfId="0" applyFont="1" applyBorder="1" applyAlignment="1">
      <alignment horizontal="center" wrapText="1"/>
    </xf>
    <xf numFmtId="165" fontId="0" fillId="0" borderId="12" xfId="0" applyNumberFormat="1" applyBorder="1" applyAlignment="1">
      <alignment horizontal="center" vertical="center"/>
    </xf>
    <xf numFmtId="165" fontId="0" fillId="0" borderId="14" xfId="0" applyNumberFormat="1" applyBorder="1" applyAlignment="1">
      <alignment horizontal="center" vertical="center"/>
    </xf>
    <xf numFmtId="0" fontId="23" fillId="0" borderId="49" xfId="0" applyFont="1" applyBorder="1" applyAlignment="1">
      <alignment horizontal="center" wrapText="1"/>
    </xf>
    <xf numFmtId="0" fontId="23" fillId="0" borderId="78" xfId="0" applyFont="1" applyBorder="1" applyAlignment="1">
      <alignment horizontal="center" wrapText="1"/>
    </xf>
    <xf numFmtId="0" fontId="19" fillId="0" borderId="44" xfId="0" applyFont="1" applyBorder="1" applyAlignment="1">
      <alignment horizontal="center" vertical="center"/>
    </xf>
    <xf numFmtId="0" fontId="19" fillId="0" borderId="45" xfId="0" applyFont="1" applyBorder="1" applyAlignment="1">
      <alignment horizontal="center" vertical="center"/>
    </xf>
    <xf numFmtId="0" fontId="19" fillId="0" borderId="0" xfId="0" applyFont="1" applyAlignment="1">
      <alignment horizontal="left"/>
    </xf>
    <xf numFmtId="0" fontId="15" fillId="9" borderId="12" xfId="5" applyNumberFormat="1" applyFont="1" applyFill="1" applyBorder="1" applyAlignment="1" applyProtection="1">
      <alignment horizontal="left" vertical="center"/>
    </xf>
    <xf numFmtId="0" fontId="15" fillId="9" borderId="13" xfId="5" applyNumberFormat="1" applyFont="1" applyFill="1" applyBorder="1" applyAlignment="1" applyProtection="1">
      <alignment horizontal="left" vertical="center"/>
    </xf>
    <xf numFmtId="0" fontId="15" fillId="9" borderId="14" xfId="5" applyNumberFormat="1" applyFont="1" applyFill="1" applyBorder="1" applyAlignment="1" applyProtection="1">
      <alignment horizontal="left" vertical="center"/>
    </xf>
    <xf numFmtId="0" fontId="13" fillId="0" borderId="12" xfId="5" applyFont="1" applyBorder="1" applyAlignment="1">
      <alignment horizontal="center" vertical="center"/>
    </xf>
    <xf numFmtId="0" fontId="13" fillId="0" borderId="13" xfId="5" applyFont="1" applyBorder="1" applyAlignment="1">
      <alignment horizontal="center" vertical="center"/>
    </xf>
    <xf numFmtId="0" fontId="13" fillId="0" borderId="14" xfId="5" applyFont="1" applyBorder="1" applyAlignment="1">
      <alignment horizontal="center" vertical="center"/>
    </xf>
    <xf numFmtId="49" fontId="33" fillId="0" borderId="12" xfId="5" applyNumberFormat="1" applyFont="1" applyBorder="1" applyAlignment="1">
      <alignment horizontal="left" vertical="center"/>
    </xf>
    <xf numFmtId="49" fontId="33" fillId="0" borderId="14" xfId="5" quotePrefix="1" applyNumberFormat="1" applyFont="1" applyBorder="1" applyAlignment="1">
      <alignment horizontal="left" vertical="center"/>
    </xf>
    <xf numFmtId="0" fontId="33" fillId="0" borderId="17" xfId="5" applyFont="1" applyBorder="1" applyAlignment="1">
      <alignment horizontal="center" vertical="center" wrapText="1"/>
    </xf>
    <xf numFmtId="0" fontId="33" fillId="0" borderId="77" xfId="5" applyFont="1" applyBorder="1" applyAlignment="1">
      <alignment horizontal="center" vertical="center" wrapText="1"/>
    </xf>
    <xf numFmtId="0" fontId="36" fillId="0" borderId="77" xfId="5" applyFont="1" applyBorder="1" applyAlignment="1">
      <alignment horizontal="center" vertical="center" wrapText="1"/>
    </xf>
    <xf numFmtId="177" fontId="33" fillId="0" borderId="12" xfId="5" applyNumberFormat="1" applyFont="1" applyBorder="1" applyAlignment="1" applyProtection="1">
      <alignment horizontal="left" vertical="center"/>
    </xf>
    <xf numFmtId="177" fontId="33" fillId="0" borderId="13" xfId="5" applyNumberFormat="1" applyFont="1" applyBorder="1" applyAlignment="1" applyProtection="1">
      <alignment horizontal="left" vertical="center"/>
    </xf>
    <xf numFmtId="177" fontId="12" fillId="0" borderId="21" xfId="5" applyNumberFormat="1" applyFont="1" applyBorder="1" applyAlignment="1" applyProtection="1">
      <alignment horizontal="left" vertical="center"/>
    </xf>
    <xf numFmtId="177" fontId="12" fillId="0" borderId="31" xfId="5" applyNumberFormat="1" applyFont="1" applyBorder="1" applyAlignment="1" applyProtection="1">
      <alignment horizontal="left" vertical="center"/>
    </xf>
    <xf numFmtId="0" fontId="12" fillId="0" borderId="31" xfId="5" applyFont="1" applyBorder="1" applyAlignment="1">
      <alignment horizontal="left" vertical="center"/>
    </xf>
    <xf numFmtId="0" fontId="12" fillId="0" borderId="34" xfId="5" applyFont="1" applyBorder="1" applyAlignment="1">
      <alignment horizontal="left" vertical="center"/>
    </xf>
    <xf numFmtId="177" fontId="12" fillId="0" borderId="32" xfId="5" applyNumberFormat="1" applyFont="1" applyBorder="1" applyAlignment="1" applyProtection="1">
      <alignment horizontal="left" vertical="center"/>
    </xf>
    <xf numFmtId="177" fontId="12" fillId="0" borderId="10" xfId="5" quotePrefix="1" applyNumberFormat="1" applyFont="1" applyBorder="1" applyAlignment="1" applyProtection="1">
      <alignment horizontal="left" vertical="center"/>
    </xf>
    <xf numFmtId="177" fontId="33" fillId="0" borderId="12" xfId="5" applyNumberFormat="1" applyFont="1" applyBorder="1" applyAlignment="1">
      <alignment horizontal="left" vertical="center"/>
    </xf>
    <xf numFmtId="177" fontId="33" fillId="0" borderId="13" xfId="5" applyNumberFormat="1" applyFont="1" applyBorder="1" applyAlignment="1">
      <alignment horizontal="left" vertical="center"/>
    </xf>
    <xf numFmtId="177" fontId="33" fillId="0" borderId="14" xfId="5" applyNumberFormat="1" applyFont="1" applyBorder="1" applyAlignment="1">
      <alignment horizontal="left" vertical="center"/>
    </xf>
    <xf numFmtId="177" fontId="33" fillId="0" borderId="13" xfId="5" quotePrefix="1" applyNumberFormat="1" applyFont="1" applyBorder="1" applyAlignment="1" applyProtection="1">
      <alignment horizontal="left" vertical="center"/>
    </xf>
    <xf numFmtId="0" fontId="33" fillId="0" borderId="13" xfId="5" applyFont="1" applyBorder="1" applyAlignment="1">
      <alignment horizontal="left" vertical="center"/>
    </xf>
    <xf numFmtId="0" fontId="33" fillId="0" borderId="14" xfId="5" applyFont="1" applyBorder="1" applyAlignment="1">
      <alignment horizontal="left" vertical="center"/>
    </xf>
    <xf numFmtId="0" fontId="36" fillId="0" borderId="17" xfId="5" applyFont="1" applyBorder="1" applyAlignment="1">
      <alignment horizontal="center" vertical="center" wrapText="1"/>
    </xf>
    <xf numFmtId="0" fontId="33" fillId="0" borderId="13" xfId="5" quotePrefix="1" applyFont="1" applyBorder="1" applyAlignment="1">
      <alignment horizontal="left" vertical="center"/>
    </xf>
    <xf numFmtId="0" fontId="33" fillId="0" borderId="14" xfId="5" quotePrefix="1" applyFont="1" applyBorder="1" applyAlignment="1">
      <alignment horizontal="left" vertical="center"/>
    </xf>
    <xf numFmtId="0" fontId="33" fillId="0" borderId="12" xfId="5" applyFont="1" applyBorder="1" applyAlignment="1">
      <alignment horizontal="left" vertical="center"/>
    </xf>
  </cellXfs>
  <cellStyles count="10">
    <cellStyle name="Komma 2" xfId="4" xr:uid="{00000000-0005-0000-0000-000000000000}"/>
    <cellStyle name="Komma 3" xfId="6" xr:uid="{00000000-0005-0000-0000-000001000000}"/>
    <cellStyle name="Link" xfId="8" builtinId="8"/>
    <cellStyle name="schrift weiß" xfId="2" xr:uid="{00000000-0005-0000-0000-000003000000}"/>
    <cellStyle name="Standard" xfId="0" builtinId="0"/>
    <cellStyle name="Standard 2" xfId="1" xr:uid="{00000000-0005-0000-0000-000005000000}"/>
    <cellStyle name="Standard 3" xfId="5" xr:uid="{00000000-0005-0000-0000-000006000000}"/>
    <cellStyle name="Währung" xfId="9" builtinId="4"/>
    <cellStyle name="Währung 2" xfId="3" xr:uid="{00000000-0005-0000-0000-000008000000}"/>
    <cellStyle name="Währung 3" xfId="7" xr:uid="{00000000-0005-0000-0000-000009000000}"/>
  </cellStyles>
  <dxfs count="38">
    <dxf>
      <font>
        <b val="0"/>
        <i/>
        <color theme="0" tint="-0.499984740745262"/>
      </font>
    </dxf>
    <dxf>
      <font>
        <b val="0"/>
        <i/>
        <color theme="0" tint="-0.499984740745262"/>
      </font>
    </dxf>
    <dxf>
      <font>
        <b val="0"/>
        <i/>
        <color theme="0" tint="-0.499984740745262"/>
      </font>
    </dxf>
    <dxf>
      <font>
        <b val="0"/>
        <i/>
        <color theme="0" tint="-0.499984740745262"/>
      </font>
    </dxf>
    <dxf>
      <font>
        <b val="0"/>
        <i/>
        <color theme="0" tint="-0.499984740745262"/>
      </font>
    </dxf>
    <dxf>
      <font>
        <b val="0"/>
        <i/>
        <color theme="0" tint="-0.499984740745262"/>
      </font>
    </dxf>
    <dxf>
      <font>
        <b val="0"/>
        <i/>
        <color theme="0" tint="-0.499984740745262"/>
      </font>
    </dxf>
    <dxf>
      <font>
        <b val="0"/>
        <i/>
        <color theme="0" tint="-0.499984740745262"/>
      </font>
    </dxf>
    <dxf>
      <font>
        <b val="0"/>
        <i/>
        <color theme="0" tint="-0.499984740745262"/>
      </font>
    </dxf>
    <dxf>
      <font>
        <b val="0"/>
        <i/>
        <color theme="0" tint="-0.499984740745262"/>
      </font>
    </dxf>
    <dxf>
      <font>
        <b val="0"/>
        <i/>
        <color theme="0" tint="-0.499984740745262"/>
      </font>
    </dxf>
    <dxf>
      <font>
        <b val="0"/>
        <i/>
        <color theme="0" tint="-0.499984740745262"/>
      </font>
    </dxf>
    <dxf>
      <font>
        <b val="0"/>
        <i/>
        <color theme="0" tint="-0.499984740745262"/>
      </font>
    </dxf>
    <dxf>
      <font>
        <b val="0"/>
        <i/>
        <color theme="0" tint="-0.499984740745262"/>
      </font>
    </dxf>
    <dxf>
      <font>
        <b val="0"/>
        <i/>
        <color theme="0" tint="-0.499984740745262"/>
      </font>
    </dxf>
    <dxf>
      <font>
        <b val="0"/>
        <i/>
        <color theme="0" tint="-0.499984740745262"/>
      </font>
    </dxf>
    <dxf>
      <font>
        <b val="0"/>
        <i/>
        <color theme="0" tint="-0.499984740745262"/>
      </font>
      <fill>
        <patternFill patternType="none">
          <bgColor auto="1"/>
        </patternFill>
      </fill>
    </dxf>
    <dxf>
      <font>
        <b val="0"/>
        <i/>
        <color theme="0" tint="-0.499984740745262"/>
      </font>
    </dxf>
    <dxf>
      <font>
        <b val="0"/>
        <i/>
        <color theme="0" tint="-0.499984740745262"/>
      </font>
    </dxf>
    <dxf>
      <font>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color theme="0"/>
      </font>
    </dxf>
    <dxf>
      <font>
        <b/>
        <i val="0"/>
        <color theme="9" tint="-0.499984740745262"/>
      </font>
    </dxf>
    <dxf>
      <font>
        <b/>
        <i val="0"/>
        <color theme="9" tint="-0.499984740745262"/>
      </font>
    </dxf>
    <dxf>
      <font>
        <b/>
        <i val="0"/>
        <color theme="9" tint="-0.499984740745262"/>
      </font>
    </dxf>
    <dxf>
      <font>
        <b/>
        <i val="0"/>
        <color theme="9" tint="-0.499984740745262"/>
      </font>
    </dxf>
    <dxf>
      <font>
        <b/>
        <i val="0"/>
        <color theme="9" tint="-0.499984740745262"/>
      </font>
    </dxf>
    <dxf>
      <font>
        <b/>
        <i val="0"/>
        <color theme="9" tint="-0.499984740745262"/>
      </font>
    </dxf>
    <dxf>
      <font>
        <color theme="9" tint="-0.499984740745262"/>
      </font>
    </dxf>
    <dxf>
      <font>
        <color theme="0"/>
      </font>
      <border>
        <left/>
        <right/>
        <top/>
        <bottom/>
      </border>
    </dxf>
    <dxf>
      <font>
        <b/>
        <i val="0"/>
        <color rgb="FFC00000"/>
      </font>
    </dxf>
    <dxf>
      <font>
        <b/>
        <i val="0"/>
        <color rgb="FFC00000"/>
      </font>
    </dxf>
    <dxf>
      <font>
        <b/>
        <i val="0"/>
        <color rgb="FFC0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xdr:col>
      <xdr:colOff>179613</xdr:colOff>
      <xdr:row>0</xdr:row>
      <xdr:rowOff>101392</xdr:rowOff>
    </xdr:from>
    <xdr:to>
      <xdr:col>3</xdr:col>
      <xdr:colOff>307743</xdr:colOff>
      <xdr:row>2</xdr:row>
      <xdr:rowOff>17205</xdr:rowOff>
    </xdr:to>
    <xdr:pic>
      <xdr:nvPicPr>
        <xdr:cNvPr id="3" name="Grafik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5838" y="101392"/>
          <a:ext cx="1747380" cy="281573"/>
        </a:xfrm>
        <a:prstGeom prst="rect">
          <a:avLst/>
        </a:prstGeom>
      </xdr:spPr>
    </xdr:pic>
    <xdr:clientData/>
  </xdr:twoCellAnchor>
  <xdr:twoCellAnchor editAs="oneCell">
    <xdr:from>
      <xdr:col>0</xdr:col>
      <xdr:colOff>402770</xdr:colOff>
      <xdr:row>0</xdr:row>
      <xdr:rowOff>0</xdr:rowOff>
    </xdr:from>
    <xdr:to>
      <xdr:col>1</xdr:col>
      <xdr:colOff>115660</xdr:colOff>
      <xdr:row>5</xdr:row>
      <xdr:rowOff>92860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02770" y="0"/>
          <a:ext cx="114301" cy="983311"/>
        </a:xfrm>
        <a:prstGeom prst="rect">
          <a:avLst/>
        </a:prstGeom>
      </xdr:spPr>
    </xdr:pic>
    <xdr:clientData/>
  </xdr:twoCellAnchor>
  <xdr:twoCellAnchor editAs="oneCell">
    <xdr:from>
      <xdr:col>5</xdr:col>
      <xdr:colOff>294469</xdr:colOff>
      <xdr:row>0</xdr:row>
      <xdr:rowOff>48986</xdr:rowOff>
    </xdr:from>
    <xdr:to>
      <xdr:col>5</xdr:col>
      <xdr:colOff>746597</xdr:colOff>
      <xdr:row>3</xdr:row>
      <xdr:rowOff>93889</xdr:rowOff>
    </xdr:to>
    <xdr:pic>
      <xdr:nvPicPr>
        <xdr:cNvPr id="5" name="Grafik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808378" y="48986"/>
          <a:ext cx="459748" cy="57694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402770</xdr:colOff>
      <xdr:row>0</xdr:row>
      <xdr:rowOff>0</xdr:rowOff>
    </xdr:from>
    <xdr:to>
      <xdr:col>1</xdr:col>
      <xdr:colOff>115660</xdr:colOff>
      <xdr:row>5</xdr:row>
      <xdr:rowOff>85240</xdr:rowOff>
    </xdr:to>
    <xdr:pic>
      <xdr:nvPicPr>
        <xdr:cNvPr id="3" name="Grafik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3230" y="0"/>
          <a:ext cx="116750" cy="961540"/>
        </a:xfrm>
        <a:prstGeom prst="rect">
          <a:avLst/>
        </a:prstGeom>
      </xdr:spPr>
    </xdr:pic>
    <xdr:clientData/>
  </xdr:twoCellAnchor>
  <xdr:twoCellAnchor editAs="oneCell">
    <xdr:from>
      <xdr:col>5</xdr:col>
      <xdr:colOff>294469</xdr:colOff>
      <xdr:row>0</xdr:row>
      <xdr:rowOff>48986</xdr:rowOff>
    </xdr:from>
    <xdr:to>
      <xdr:col>5</xdr:col>
      <xdr:colOff>754217</xdr:colOff>
      <xdr:row>3</xdr:row>
      <xdr:rowOff>103414</xdr:rowOff>
    </xdr:to>
    <xdr:pic>
      <xdr:nvPicPr>
        <xdr:cNvPr id="4" name="Grafik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799669" y="48986"/>
          <a:ext cx="459748" cy="580208"/>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llh.hessen.de/ueber-uns/kontakt/?search=Beratungsteam+%C3%96kologischer+Landbau" TargetMode="External"/><Relationship Id="rId2" Type="http://schemas.openxmlformats.org/officeDocument/2006/relationships/hyperlink" Target="https://llh.hessen.de/ueber-uns/kontakt/?search=Beratungsteam+%C3%96konomie+und+Verfahrenstechnik" TargetMode="External"/><Relationship Id="rId1" Type="http://schemas.openxmlformats.org/officeDocument/2006/relationships/hyperlink" Target="mailto:manuel.fraenzke@llh.hessen.de"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llh.hessen.de/ueber-uns/kontakt/?search=Beratungsteam+Biodiversit%C3%A4t"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B1:K41"/>
  <sheetViews>
    <sheetView tabSelected="1" zoomScale="150" zoomScaleNormal="150" workbookViewId="0"/>
  </sheetViews>
  <sheetFormatPr baseColWidth="10" defaultColWidth="10.59765625" defaultRowHeight="13.8" x14ac:dyDescent="0.25"/>
  <cols>
    <col min="1" max="1" width="3.59765625" style="4" customWidth="1"/>
    <col min="2" max="5" width="10.59765625" style="4"/>
    <col min="6" max="6" width="11.19921875" style="4" customWidth="1"/>
    <col min="7" max="16384" width="10.59765625" style="4"/>
  </cols>
  <sheetData>
    <row r="1" spans="2:6" x14ac:dyDescent="0.25">
      <c r="B1" s="239"/>
      <c r="C1" s="240"/>
      <c r="D1" s="240"/>
      <c r="E1" s="240"/>
      <c r="F1" s="241"/>
    </row>
    <row r="2" spans="2:6" x14ac:dyDescent="0.25">
      <c r="B2" s="242"/>
      <c r="F2" s="243"/>
    </row>
    <row r="3" spans="2:6" x14ac:dyDescent="0.25">
      <c r="B3" s="242"/>
      <c r="F3" s="243"/>
    </row>
    <row r="4" spans="2:6" x14ac:dyDescent="0.25">
      <c r="B4" s="242"/>
      <c r="F4" s="243"/>
    </row>
    <row r="5" spans="2:6" x14ac:dyDescent="0.25">
      <c r="B5" s="242"/>
      <c r="F5" s="243"/>
    </row>
    <row r="6" spans="2:6" x14ac:dyDescent="0.25">
      <c r="B6" s="242"/>
      <c r="F6" s="243"/>
    </row>
    <row r="7" spans="2:6" ht="21" x14ac:dyDescent="0.4">
      <c r="B7" s="244" t="s">
        <v>4</v>
      </c>
      <c r="F7" s="243"/>
    </row>
    <row r="8" spans="2:6" ht="21" x14ac:dyDescent="0.4">
      <c r="B8" s="252" t="s">
        <v>215</v>
      </c>
      <c r="C8" s="237"/>
      <c r="D8" s="237"/>
      <c r="E8" s="237"/>
      <c r="F8" s="245"/>
    </row>
    <row r="9" spans="2:6" ht="21" x14ac:dyDescent="0.4">
      <c r="B9" s="252" t="s">
        <v>696</v>
      </c>
      <c r="F9" s="243"/>
    </row>
    <row r="10" spans="2:6" x14ac:dyDescent="0.25">
      <c r="B10" s="254" t="s">
        <v>697</v>
      </c>
      <c r="F10" s="243"/>
    </row>
    <row r="11" spans="2:6" x14ac:dyDescent="0.25">
      <c r="B11" s="254"/>
      <c r="F11" s="243"/>
    </row>
    <row r="12" spans="2:6" x14ac:dyDescent="0.25">
      <c r="B12" s="484" t="s">
        <v>492</v>
      </c>
      <c r="F12" s="243"/>
    </row>
    <row r="13" spans="2:6" x14ac:dyDescent="0.25">
      <c r="B13" s="253" t="s">
        <v>205</v>
      </c>
      <c r="F13" s="243"/>
    </row>
    <row r="14" spans="2:6" x14ac:dyDescent="0.25">
      <c r="B14" s="253" t="s">
        <v>655</v>
      </c>
      <c r="F14" s="243"/>
    </row>
    <row r="15" spans="2:6" x14ac:dyDescent="0.25">
      <c r="B15" s="483" t="s">
        <v>493</v>
      </c>
      <c r="F15" s="243"/>
    </row>
    <row r="16" spans="2:6" x14ac:dyDescent="0.25">
      <c r="B16" s="247"/>
      <c r="F16" s="243"/>
    </row>
    <row r="17" spans="2:11" x14ac:dyDescent="0.25">
      <c r="B17" s="484" t="s">
        <v>494</v>
      </c>
      <c r="F17" s="243"/>
    </row>
    <row r="18" spans="2:11" x14ac:dyDescent="0.25">
      <c r="B18" s="246" t="s">
        <v>652</v>
      </c>
      <c r="F18" s="243"/>
    </row>
    <row r="19" spans="2:11" x14ac:dyDescent="0.25">
      <c r="B19" s="621" t="s">
        <v>495</v>
      </c>
      <c r="F19" s="243"/>
    </row>
    <row r="20" spans="2:11" x14ac:dyDescent="0.25">
      <c r="B20" s="246" t="s">
        <v>653</v>
      </c>
      <c r="F20" s="243"/>
    </row>
    <row r="21" spans="2:11" x14ac:dyDescent="0.25">
      <c r="B21" s="621" t="s">
        <v>496</v>
      </c>
      <c r="C21" s="622"/>
      <c r="F21" s="243"/>
    </row>
    <row r="22" spans="2:11" x14ac:dyDescent="0.25">
      <c r="B22" s="507" t="s">
        <v>698</v>
      </c>
      <c r="C22" s="505"/>
      <c r="D22" s="505"/>
      <c r="E22" s="505"/>
      <c r="F22" s="506"/>
    </row>
    <row r="23" spans="2:11" x14ac:dyDescent="0.25">
      <c r="B23" s="507" t="s">
        <v>654</v>
      </c>
      <c r="C23" s="505"/>
      <c r="D23" s="505"/>
      <c r="E23" s="505"/>
      <c r="F23" s="506"/>
    </row>
    <row r="24" spans="2:11" x14ac:dyDescent="0.25">
      <c r="B24" s="621" t="s">
        <v>529</v>
      </c>
      <c r="C24" s="622"/>
      <c r="D24" s="5"/>
      <c r="E24" s="505"/>
      <c r="F24" s="506"/>
    </row>
    <row r="25" spans="2:11" x14ac:dyDescent="0.25">
      <c r="B25" s="482"/>
      <c r="F25" s="243"/>
    </row>
    <row r="26" spans="2:11" x14ac:dyDescent="0.25">
      <c r="B26" s="242"/>
      <c r="C26" s="5"/>
      <c r="D26" s="5"/>
      <c r="E26" s="5"/>
      <c r="F26" s="248"/>
      <c r="G26" s="5"/>
      <c r="H26" s="5"/>
      <c r="I26" s="5"/>
    </row>
    <row r="27" spans="2:11" x14ac:dyDescent="0.25">
      <c r="B27" s="488" t="s">
        <v>202</v>
      </c>
      <c r="F27" s="243"/>
    </row>
    <row r="28" spans="2:11" ht="13.95" customHeight="1" x14ac:dyDescent="0.25">
      <c r="B28" s="623" t="s">
        <v>628</v>
      </c>
      <c r="C28" s="624"/>
      <c r="D28" s="624"/>
      <c r="E28" s="624"/>
      <c r="F28" s="625"/>
    </row>
    <row r="29" spans="2:11" x14ac:dyDescent="0.25">
      <c r="B29" s="623"/>
      <c r="C29" s="624"/>
      <c r="D29" s="624"/>
      <c r="E29" s="624"/>
      <c r="F29" s="625"/>
    </row>
    <row r="30" spans="2:11" x14ac:dyDescent="0.25">
      <c r="B30" s="623"/>
      <c r="C30" s="624"/>
      <c r="D30" s="624"/>
      <c r="E30" s="624"/>
      <c r="F30" s="625"/>
    </row>
    <row r="31" spans="2:11" x14ac:dyDescent="0.25">
      <c r="B31" s="623"/>
      <c r="C31" s="624"/>
      <c r="D31" s="624"/>
      <c r="E31" s="624"/>
      <c r="F31" s="625"/>
    </row>
    <row r="32" spans="2:11" x14ac:dyDescent="0.25">
      <c r="B32" s="623"/>
      <c r="C32" s="624"/>
      <c r="D32" s="624"/>
      <c r="E32" s="624"/>
      <c r="F32" s="625"/>
      <c r="J32" s="5"/>
      <c r="K32" s="5"/>
    </row>
    <row r="33" spans="2:11" x14ac:dyDescent="0.25">
      <c r="B33" s="623"/>
      <c r="C33" s="624"/>
      <c r="D33" s="624"/>
      <c r="E33" s="624"/>
      <c r="F33" s="625"/>
      <c r="J33" s="238"/>
      <c r="K33" s="5"/>
    </row>
    <row r="34" spans="2:11" x14ac:dyDescent="0.25">
      <c r="B34" s="623"/>
      <c r="C34" s="624"/>
      <c r="D34" s="624"/>
      <c r="E34" s="624"/>
      <c r="F34" s="625"/>
    </row>
    <row r="35" spans="2:11" x14ac:dyDescent="0.25">
      <c r="B35" s="623"/>
      <c r="C35" s="624"/>
      <c r="D35" s="624"/>
      <c r="E35" s="624"/>
      <c r="F35" s="625"/>
    </row>
    <row r="36" spans="2:11" x14ac:dyDescent="0.25">
      <c r="B36" s="623"/>
      <c r="C36" s="624"/>
      <c r="D36" s="624"/>
      <c r="E36" s="624"/>
      <c r="F36" s="625"/>
    </row>
    <row r="37" spans="2:11" x14ac:dyDescent="0.25">
      <c r="B37" s="623"/>
      <c r="C37" s="624"/>
      <c r="D37" s="624"/>
      <c r="E37" s="624"/>
      <c r="F37" s="625"/>
    </row>
    <row r="38" spans="2:11" x14ac:dyDescent="0.25">
      <c r="B38" s="623"/>
      <c r="C38" s="624"/>
      <c r="D38" s="624"/>
      <c r="E38" s="624"/>
      <c r="F38" s="625"/>
    </row>
    <row r="39" spans="2:11" x14ac:dyDescent="0.25">
      <c r="B39" s="623"/>
      <c r="C39" s="624"/>
      <c r="D39" s="624"/>
      <c r="E39" s="624"/>
      <c r="F39" s="625"/>
    </row>
    <row r="40" spans="2:11" x14ac:dyDescent="0.25">
      <c r="B40" s="623"/>
      <c r="C40" s="624"/>
      <c r="D40" s="624"/>
      <c r="E40" s="624"/>
      <c r="F40" s="625"/>
    </row>
    <row r="41" spans="2:11" x14ac:dyDescent="0.25">
      <c r="B41" s="626"/>
      <c r="C41" s="627"/>
      <c r="D41" s="627"/>
      <c r="E41" s="627"/>
      <c r="F41" s="628"/>
    </row>
  </sheetData>
  <sheetProtection algorithmName="SHA-512" hashValue="gOpPriNi/KvzLU1jOHV1u9bhzDU4CDqeEAhbij0N/S0Ugp2uMDA/iFp3cjyiPZLrAH19LNmzVP6c3dSan1XOQg==" saltValue="giF0DPfV6yNpVoYr/g6JiQ==" spinCount="100000" sheet="1" objects="1" scenarios="1"/>
  <mergeCells count="1">
    <mergeCell ref="B28:F41"/>
  </mergeCells>
  <hyperlinks>
    <hyperlink ref="B15" r:id="rId1" xr:uid="{00000000-0004-0000-0000-000001000000}"/>
    <hyperlink ref="B19" r:id="rId2" xr:uid="{00000000-0004-0000-0000-000002000000}"/>
    <hyperlink ref="B21" r:id="rId3" xr:uid="{00000000-0004-0000-0000-000003000000}"/>
    <hyperlink ref="B24" r:id="rId4" xr:uid="{00000000-0004-0000-0000-000004000000}"/>
  </hyperlinks>
  <pageMargins left="0.70866141732283472" right="0.70866141732283472" top="0.39370078740157483" bottom="0.39370078740157483" header="0.31496062992125984" footer="0.31496062992125984"/>
  <pageSetup paperSize="9"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B1:I36"/>
  <sheetViews>
    <sheetView zoomScale="150" zoomScaleNormal="150" workbookViewId="0"/>
  </sheetViews>
  <sheetFormatPr baseColWidth="10" defaultColWidth="10.59765625" defaultRowHeight="13.8" x14ac:dyDescent="0.25"/>
  <cols>
    <col min="1" max="1" width="3.59765625" style="4" customWidth="1"/>
    <col min="2" max="16384" width="10.59765625" style="4"/>
  </cols>
  <sheetData>
    <row r="1" spans="2:6" x14ac:dyDescent="0.25">
      <c r="B1" s="239"/>
      <c r="C1" s="240"/>
      <c r="D1" s="240"/>
      <c r="E1" s="240"/>
      <c r="F1" s="241"/>
    </row>
    <row r="2" spans="2:6" x14ac:dyDescent="0.25">
      <c r="B2" s="242"/>
      <c r="F2" s="243"/>
    </row>
    <row r="3" spans="2:6" x14ac:dyDescent="0.25">
      <c r="B3" s="242"/>
      <c r="F3" s="243"/>
    </row>
    <row r="4" spans="2:6" x14ac:dyDescent="0.25">
      <c r="B4" s="242"/>
      <c r="F4" s="243"/>
    </row>
    <row r="5" spans="2:6" x14ac:dyDescent="0.25">
      <c r="B5" s="242"/>
      <c r="F5" s="243"/>
    </row>
    <row r="6" spans="2:6" x14ac:dyDescent="0.25">
      <c r="B6" s="242"/>
      <c r="F6" s="243"/>
    </row>
    <row r="7" spans="2:6" ht="21" x14ac:dyDescent="0.4">
      <c r="B7" s="244" t="s">
        <v>497</v>
      </c>
      <c r="F7" s="243"/>
    </row>
    <row r="8" spans="2:6" x14ac:dyDescent="0.25">
      <c r="B8" s="254" t="str">
        <f>Startseite!B10</f>
        <v>Version: 5.0    Stand: 12. März 2026</v>
      </c>
      <c r="C8" s="254"/>
      <c r="D8" s="254"/>
      <c r="F8" s="243"/>
    </row>
    <row r="9" spans="2:6" x14ac:dyDescent="0.25">
      <c r="B9" s="254"/>
      <c r="F9" s="243"/>
    </row>
    <row r="10" spans="2:6" x14ac:dyDescent="0.25">
      <c r="B10" s="488" t="s">
        <v>498</v>
      </c>
      <c r="F10" s="243"/>
    </row>
    <row r="11" spans="2:6" ht="16.2" customHeight="1" x14ac:dyDescent="0.25">
      <c r="B11" s="623" t="s">
        <v>656</v>
      </c>
      <c r="C11" s="624"/>
      <c r="D11" s="624"/>
      <c r="E11" s="624"/>
      <c r="F11" s="625"/>
    </row>
    <row r="12" spans="2:6" x14ac:dyDescent="0.25">
      <c r="B12" s="623"/>
      <c r="C12" s="624"/>
      <c r="D12" s="624"/>
      <c r="E12" s="624"/>
      <c r="F12" s="625"/>
    </row>
    <row r="13" spans="2:6" x14ac:dyDescent="0.25">
      <c r="B13" s="623"/>
      <c r="C13" s="624"/>
      <c r="D13" s="624"/>
      <c r="E13" s="624"/>
      <c r="F13" s="625"/>
    </row>
    <row r="14" spans="2:6" x14ac:dyDescent="0.25">
      <c r="B14" s="623"/>
      <c r="C14" s="624"/>
      <c r="D14" s="624"/>
      <c r="E14" s="624"/>
      <c r="F14" s="625"/>
    </row>
    <row r="15" spans="2:6" x14ac:dyDescent="0.25">
      <c r="B15" s="623"/>
      <c r="C15" s="624"/>
      <c r="D15" s="624"/>
      <c r="E15" s="624"/>
      <c r="F15" s="625"/>
    </row>
    <row r="16" spans="2:6" x14ac:dyDescent="0.25">
      <c r="B16" s="623"/>
      <c r="C16" s="624"/>
      <c r="D16" s="624"/>
      <c r="E16" s="624"/>
      <c r="F16" s="625"/>
    </row>
    <row r="17" spans="2:9" x14ac:dyDescent="0.25">
      <c r="B17" s="253"/>
      <c r="F17" s="243"/>
    </row>
    <row r="18" spans="2:9" x14ac:dyDescent="0.25">
      <c r="B18" s="489" t="s">
        <v>499</v>
      </c>
      <c r="C18" s="5"/>
      <c r="D18" s="5"/>
      <c r="F18" s="243"/>
    </row>
    <row r="19" spans="2:9" ht="13.95" customHeight="1" x14ac:dyDescent="0.25">
      <c r="B19" s="629" t="s">
        <v>504</v>
      </c>
      <c r="C19" s="630"/>
      <c r="D19" s="630"/>
      <c r="E19" s="630"/>
      <c r="F19" s="631"/>
    </row>
    <row r="20" spans="2:9" x14ac:dyDescent="0.25">
      <c r="B20" s="629"/>
      <c r="C20" s="630"/>
      <c r="D20" s="630"/>
      <c r="E20" s="630"/>
      <c r="F20" s="631"/>
    </row>
    <row r="21" spans="2:9" ht="14.4" thickBot="1" x14ac:dyDescent="0.3">
      <c r="B21" s="629"/>
      <c r="C21" s="630"/>
      <c r="D21" s="630"/>
      <c r="E21" s="630"/>
      <c r="F21" s="631"/>
    </row>
    <row r="22" spans="2:9" ht="14.4" thickBot="1" x14ac:dyDescent="0.3">
      <c r="B22" s="249"/>
      <c r="C22" s="238" t="s">
        <v>203</v>
      </c>
      <c r="F22" s="243"/>
    </row>
    <row r="23" spans="2:9" ht="14.4" thickBot="1" x14ac:dyDescent="0.3">
      <c r="B23" s="250"/>
      <c r="C23" s="238" t="s">
        <v>204</v>
      </c>
      <c r="F23" s="243"/>
    </row>
    <row r="24" spans="2:9" x14ac:dyDescent="0.25">
      <c r="B24" s="482"/>
      <c r="F24" s="243"/>
    </row>
    <row r="25" spans="2:9" ht="13.95" customHeight="1" x14ac:dyDescent="0.25">
      <c r="B25" s="629" t="s">
        <v>657</v>
      </c>
      <c r="C25" s="630"/>
      <c r="D25" s="630"/>
      <c r="E25" s="630"/>
      <c r="F25" s="631"/>
      <c r="G25" s="5"/>
      <c r="H25" s="5"/>
      <c r="I25" s="5"/>
    </row>
    <row r="26" spans="2:9" x14ac:dyDescent="0.25">
      <c r="B26" s="629"/>
      <c r="C26" s="630"/>
      <c r="D26" s="630"/>
      <c r="E26" s="630"/>
      <c r="F26" s="631"/>
    </row>
    <row r="27" spans="2:9" x14ac:dyDescent="0.25">
      <c r="B27" s="629"/>
      <c r="C27" s="630"/>
      <c r="D27" s="630"/>
      <c r="E27" s="630"/>
      <c r="F27" s="631"/>
    </row>
    <row r="28" spans="2:9" x14ac:dyDescent="0.25">
      <c r="B28" s="629"/>
      <c r="C28" s="630"/>
      <c r="D28" s="630"/>
      <c r="E28" s="630"/>
      <c r="F28" s="631"/>
    </row>
    <row r="29" spans="2:9" x14ac:dyDescent="0.25">
      <c r="B29" s="629"/>
      <c r="C29" s="630"/>
      <c r="D29" s="630"/>
      <c r="E29" s="630"/>
      <c r="F29" s="631"/>
    </row>
    <row r="30" spans="2:9" x14ac:dyDescent="0.25">
      <c r="B30" s="629"/>
      <c r="C30" s="630"/>
      <c r="D30" s="630"/>
      <c r="E30" s="630"/>
      <c r="F30" s="631"/>
    </row>
    <row r="31" spans="2:9" x14ac:dyDescent="0.25">
      <c r="B31" s="246"/>
      <c r="F31" s="243"/>
    </row>
    <row r="32" spans="2:9" x14ac:dyDescent="0.25">
      <c r="B32" s="484" t="s">
        <v>500</v>
      </c>
      <c r="F32" s="243"/>
    </row>
    <row r="33" spans="2:6" ht="13.95" customHeight="1" x14ac:dyDescent="0.25">
      <c r="B33" s="629" t="s">
        <v>501</v>
      </c>
      <c r="C33" s="630"/>
      <c r="D33" s="630"/>
      <c r="E33" s="630"/>
      <c r="F33" s="631"/>
    </row>
    <row r="34" spans="2:6" x14ac:dyDescent="0.25">
      <c r="B34" s="629"/>
      <c r="C34" s="630"/>
      <c r="D34" s="630"/>
      <c r="E34" s="630"/>
      <c r="F34" s="631"/>
    </row>
    <row r="35" spans="2:6" x14ac:dyDescent="0.25">
      <c r="B35" s="629"/>
      <c r="C35" s="630"/>
      <c r="D35" s="630"/>
      <c r="E35" s="630"/>
      <c r="F35" s="631"/>
    </row>
    <row r="36" spans="2:6" x14ac:dyDescent="0.25">
      <c r="B36" s="632"/>
      <c r="C36" s="633"/>
      <c r="D36" s="633"/>
      <c r="E36" s="633"/>
      <c r="F36" s="634"/>
    </row>
  </sheetData>
  <sheetProtection algorithmName="SHA-512" hashValue="RaGbmszXbxP+VAWTuS2b01wKphHfuto6ERzcTbwVmPDbVfcdmZRxwhdPzvxOm2WLSfARQbYOACwimOuqf0PptQ==" saltValue="VEL7q6U256h96RF9Ikqr5Q==" spinCount="100000" sheet="1" objects="1" scenarios="1"/>
  <mergeCells count="4">
    <mergeCell ref="B33:F36"/>
    <mergeCell ref="B19:F21"/>
    <mergeCell ref="B11:F16"/>
    <mergeCell ref="B25:F30"/>
  </mergeCells>
  <pageMargins left="0.70866141732283472" right="0.70866141732283472" top="0.39370078740157483" bottom="0.39370078740157483" header="0.31496062992125984" footer="0.31496062992125984"/>
  <pageSetup paperSize="9" scale="145"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5">
    <pageSetUpPr fitToPage="1"/>
  </sheetPr>
  <dimension ref="A2:M62"/>
  <sheetViews>
    <sheetView showGridLines="0" workbookViewId="0">
      <selection activeCell="C8" sqref="C8"/>
    </sheetView>
  </sheetViews>
  <sheetFormatPr baseColWidth="10" defaultRowHeight="13.8" x14ac:dyDescent="0.25"/>
  <cols>
    <col min="1" max="1" width="6" customWidth="1"/>
    <col min="2" max="2" width="28.5" customWidth="1"/>
    <col min="3" max="3" width="12.59765625" customWidth="1"/>
    <col min="4" max="4" width="11.09765625" bestFit="1" customWidth="1"/>
    <col min="5" max="5" width="14" bestFit="1" customWidth="1"/>
    <col min="6" max="6" width="0.8984375" customWidth="1"/>
    <col min="7" max="7" width="14" customWidth="1"/>
    <col min="8" max="8" width="11.09765625" bestFit="1" customWidth="1"/>
    <col min="9" max="9" width="23.69921875" customWidth="1"/>
    <col min="12" max="12" width="3.3984375" customWidth="1"/>
    <col min="13" max="13" width="16.69921875" customWidth="1"/>
  </cols>
  <sheetData>
    <row r="2" spans="1:13" ht="24.6" x14ac:dyDescent="0.25">
      <c r="B2" s="20" t="s">
        <v>700</v>
      </c>
      <c r="C2" s="6"/>
      <c r="D2" s="6"/>
      <c r="E2" s="6"/>
      <c r="F2" s="6"/>
      <c r="G2" s="6"/>
      <c r="H2" s="6"/>
      <c r="I2" s="6"/>
      <c r="J2" s="6"/>
      <c r="K2" s="6"/>
      <c r="L2" s="6"/>
      <c r="M2" s="6"/>
    </row>
    <row r="3" spans="1:13" ht="17.399999999999999" x14ac:dyDescent="0.25">
      <c r="B3" s="62" t="s">
        <v>530</v>
      </c>
      <c r="C3" s="6"/>
      <c r="D3" s="6"/>
      <c r="E3" s="6"/>
      <c r="F3" s="6"/>
      <c r="G3" s="6"/>
      <c r="H3" s="6"/>
      <c r="I3" s="6"/>
      <c r="J3" s="6"/>
      <c r="K3" s="6"/>
      <c r="L3" s="6"/>
      <c r="M3" s="6"/>
    </row>
    <row r="4" spans="1:13" ht="14.4" thickBot="1" x14ac:dyDescent="0.3">
      <c r="B4" s="6"/>
      <c r="C4" s="6"/>
      <c r="D4" s="6"/>
      <c r="E4" s="6"/>
      <c r="F4" s="6"/>
      <c r="G4" s="6"/>
      <c r="H4" s="6"/>
      <c r="I4" s="6"/>
      <c r="J4" s="6"/>
      <c r="K4" s="6"/>
      <c r="L4" s="6"/>
      <c r="M4" s="6"/>
    </row>
    <row r="5" spans="1:13" ht="16.2" thickTop="1" x14ac:dyDescent="0.25">
      <c r="B5" s="29" t="s">
        <v>6</v>
      </c>
      <c r="C5" s="22"/>
      <c r="D5" s="22"/>
      <c r="E5" s="251"/>
      <c r="F5" s="22"/>
      <c r="G5" s="22"/>
      <c r="H5" s="22"/>
      <c r="I5" s="22"/>
      <c r="J5" s="22"/>
      <c r="K5" s="22"/>
      <c r="L5" s="22"/>
      <c r="M5" s="23"/>
    </row>
    <row r="6" spans="1:13" ht="8.25" customHeight="1" thickBot="1" x14ac:dyDescent="0.3">
      <c r="B6" s="30"/>
      <c r="C6" s="7"/>
      <c r="D6" s="7"/>
      <c r="E6" s="227"/>
      <c r="F6" s="7"/>
      <c r="G6" s="7"/>
      <c r="H6" s="7"/>
      <c r="I6" s="7"/>
      <c r="J6" s="7"/>
      <c r="K6" s="7"/>
      <c r="L6" s="7"/>
      <c r="M6" s="25"/>
    </row>
    <row r="7" spans="1:13" ht="14.4" thickBot="1" x14ac:dyDescent="0.3">
      <c r="B7" s="30" t="s">
        <v>8</v>
      </c>
      <c r="C7" s="7"/>
      <c r="D7" s="7"/>
      <c r="E7" s="255" t="s">
        <v>219</v>
      </c>
      <c r="F7" s="7"/>
      <c r="G7" s="7"/>
      <c r="H7" s="662"/>
      <c r="I7" s="663"/>
      <c r="J7" s="663"/>
      <c r="K7" s="663"/>
      <c r="L7" s="663"/>
      <c r="M7" s="664"/>
    </row>
    <row r="8" spans="1:13" ht="14.4" thickBot="1" x14ac:dyDescent="0.3">
      <c r="B8" s="31" t="s">
        <v>9</v>
      </c>
      <c r="C8" s="189" t="s">
        <v>38</v>
      </c>
      <c r="D8" s="7"/>
      <c r="E8" s="26"/>
      <c r="F8" s="26"/>
      <c r="G8" s="26"/>
      <c r="H8" s="26"/>
      <c r="I8" s="26"/>
      <c r="J8" s="26"/>
      <c r="K8" s="26"/>
      <c r="L8" s="7"/>
      <c r="M8" s="25"/>
    </row>
    <row r="9" spans="1:13" ht="14.4" thickBot="1" x14ac:dyDescent="0.3">
      <c r="B9" s="31"/>
      <c r="C9" s="9"/>
      <c r="D9" s="7"/>
      <c r="E9" s="7" t="s">
        <v>206</v>
      </c>
      <c r="F9" s="7"/>
      <c r="G9" s="7"/>
      <c r="H9" s="665"/>
      <c r="I9" s="666"/>
      <c r="J9" s="666"/>
      <c r="K9" s="666"/>
      <c r="L9" s="666"/>
      <c r="M9" s="667"/>
    </row>
    <row r="10" spans="1:13" ht="14.4" thickBot="1" x14ac:dyDescent="0.3">
      <c r="B10" s="32" t="s">
        <v>5</v>
      </c>
      <c r="C10" s="256" t="s">
        <v>38</v>
      </c>
      <c r="D10" s="28"/>
      <c r="E10" s="27"/>
      <c r="F10" s="27"/>
      <c r="G10" s="27"/>
      <c r="H10" s="668"/>
      <c r="I10" s="669"/>
      <c r="J10" s="669"/>
      <c r="K10" s="669"/>
      <c r="L10" s="669"/>
      <c r="M10" s="670"/>
    </row>
    <row r="11" spans="1:13" ht="15" thickTop="1" thickBot="1" x14ac:dyDescent="0.3">
      <c r="B11" s="8"/>
      <c r="C11" s="6"/>
      <c r="D11" s="6"/>
      <c r="E11" s="6"/>
      <c r="F11" s="6"/>
      <c r="G11" s="6"/>
      <c r="H11" s="6"/>
      <c r="I11" s="6"/>
      <c r="J11" s="6"/>
      <c r="K11" s="6"/>
      <c r="L11" s="6"/>
      <c r="M11" s="6"/>
    </row>
    <row r="12" spans="1:13" ht="14.4" thickTop="1" x14ac:dyDescent="0.25">
      <c r="A12" s="14"/>
      <c r="B12" s="33" t="s">
        <v>7</v>
      </c>
      <c r="C12" s="34"/>
      <c r="D12" s="34"/>
      <c r="E12" s="35"/>
      <c r="F12" s="35"/>
      <c r="G12" s="36" t="s">
        <v>473</v>
      </c>
      <c r="H12" s="34"/>
      <c r="I12" s="34"/>
      <c r="J12" s="675" t="s">
        <v>528</v>
      </c>
      <c r="K12" s="675"/>
      <c r="L12" s="22"/>
      <c r="M12" s="23" t="s">
        <v>477</v>
      </c>
    </row>
    <row r="13" spans="1:13" ht="14.4" thickBot="1" x14ac:dyDescent="0.3">
      <c r="A13" s="14"/>
      <c r="B13" s="490"/>
      <c r="C13" s="9"/>
      <c r="D13" s="9"/>
      <c r="E13" s="26"/>
      <c r="F13" s="26"/>
      <c r="G13" s="491" t="s">
        <v>502</v>
      </c>
      <c r="H13" s="9"/>
      <c r="I13" s="9"/>
      <c r="J13" s="676" t="s">
        <v>534</v>
      </c>
      <c r="K13" s="676"/>
      <c r="L13" s="7"/>
      <c r="M13" s="25"/>
    </row>
    <row r="14" spans="1:13" ht="14.4" thickBot="1" x14ac:dyDescent="0.3">
      <c r="A14" s="14"/>
      <c r="B14" s="38" t="s">
        <v>47</v>
      </c>
      <c r="C14" s="467">
        <f>C16+C24+C26</f>
        <v>0</v>
      </c>
      <c r="D14" s="9" t="s">
        <v>0</v>
      </c>
      <c r="E14" s="57"/>
      <c r="F14" s="26"/>
      <c r="G14" s="672" t="s">
        <v>38</v>
      </c>
      <c r="H14" s="673"/>
      <c r="I14" s="674"/>
      <c r="J14" s="10"/>
      <c r="K14" s="453">
        <v>0</v>
      </c>
      <c r="L14" s="7"/>
      <c r="M14" s="459">
        <f>IF(G14&lt;&gt;"bitte wählen",HLOOKUP(G14,Datengrundlage!$AS$11:$BD$12,2,FALSE)*K14,0)</f>
        <v>0</v>
      </c>
    </row>
    <row r="15" spans="1:13" ht="10.5" customHeight="1" thickBot="1" x14ac:dyDescent="0.3">
      <c r="A15" s="14"/>
      <c r="B15" s="38"/>
      <c r="C15" s="579"/>
      <c r="D15" s="9"/>
      <c r="E15" s="57"/>
      <c r="F15" s="26"/>
      <c r="G15" s="44"/>
      <c r="H15" s="9"/>
      <c r="I15" s="9"/>
      <c r="J15" s="10"/>
      <c r="K15" s="464"/>
      <c r="L15" s="7"/>
      <c r="M15" s="460"/>
    </row>
    <row r="16" spans="1:13" ht="14.4" customHeight="1" thickBot="1" x14ac:dyDescent="0.3">
      <c r="A16" s="14"/>
      <c r="B16" s="39" t="s">
        <v>478</v>
      </c>
      <c r="C16" s="469">
        <v>0</v>
      </c>
      <c r="D16" s="9" t="s">
        <v>0</v>
      </c>
      <c r="E16" s="671" t="str">
        <f>IF(SUM(C18:C22)&gt;C16,"Summe aus Gras, Grünfutter, Ackerfutter oder Brachen übersteigt gesamte Ackerfläche","")</f>
        <v/>
      </c>
      <c r="F16" s="26"/>
      <c r="G16" s="672" t="s">
        <v>38</v>
      </c>
      <c r="H16" s="673"/>
      <c r="I16" s="674"/>
      <c r="J16" s="11"/>
      <c r="K16" s="453">
        <v>0</v>
      </c>
      <c r="L16" s="7"/>
      <c r="M16" s="459">
        <f>IF(G16&lt;&gt;"bitte wählen",HLOOKUP(G16,Datengrundlage!$AS$11:$BD$12,2,FALSE)*K16,0)</f>
        <v>0</v>
      </c>
    </row>
    <row r="17" spans="1:13" ht="10.199999999999999" customHeight="1" thickBot="1" x14ac:dyDescent="0.3">
      <c r="A17" s="14"/>
      <c r="B17" s="39"/>
      <c r="C17" s="579"/>
      <c r="D17" s="9"/>
      <c r="E17" s="671"/>
      <c r="F17" s="26"/>
      <c r="G17" s="456"/>
      <c r="H17" s="456"/>
      <c r="I17" s="456"/>
      <c r="J17" s="11"/>
      <c r="K17" s="465"/>
      <c r="L17" s="7"/>
      <c r="M17" s="461"/>
    </row>
    <row r="18" spans="1:13" ht="14.4" customHeight="1" thickBot="1" x14ac:dyDescent="0.3">
      <c r="A18" s="14"/>
      <c r="B18" s="455" t="s">
        <v>480</v>
      </c>
      <c r="C18" s="469">
        <v>0</v>
      </c>
      <c r="D18" s="9" t="s">
        <v>0</v>
      </c>
      <c r="E18" s="671"/>
      <c r="F18" s="26"/>
      <c r="G18" s="672" t="s">
        <v>38</v>
      </c>
      <c r="H18" s="673"/>
      <c r="I18" s="674"/>
      <c r="J18" s="11"/>
      <c r="K18" s="453">
        <v>0</v>
      </c>
      <c r="L18" s="7"/>
      <c r="M18" s="459">
        <f>IF(G18&lt;&gt;"bitte wählen",HLOOKUP(G18,Datengrundlage!$AS$11:$BD$12,2,FALSE)*K18,0)</f>
        <v>0</v>
      </c>
    </row>
    <row r="19" spans="1:13" ht="10.199999999999999" customHeight="1" thickBot="1" x14ac:dyDescent="0.3">
      <c r="A19" s="14"/>
      <c r="B19" s="597" t="s">
        <v>658</v>
      </c>
      <c r="C19" s="579"/>
      <c r="D19" s="9"/>
      <c r="E19" s="671"/>
      <c r="F19" s="26"/>
      <c r="G19" s="456"/>
      <c r="H19" s="456"/>
      <c r="I19" s="456"/>
      <c r="J19" s="11"/>
      <c r="K19" s="465"/>
      <c r="L19" s="7"/>
      <c r="M19" s="461"/>
    </row>
    <row r="20" spans="1:13" ht="14.4" thickBot="1" x14ac:dyDescent="0.3">
      <c r="A20" s="14"/>
      <c r="B20" s="455" t="s">
        <v>479</v>
      </c>
      <c r="C20" s="469">
        <v>0</v>
      </c>
      <c r="D20" s="9" t="s">
        <v>0</v>
      </c>
      <c r="E20" s="671"/>
      <c r="F20" s="26"/>
      <c r="G20" s="672" t="s">
        <v>38</v>
      </c>
      <c r="H20" s="673"/>
      <c r="I20" s="674"/>
      <c r="J20" s="11"/>
      <c r="K20" s="453">
        <v>0</v>
      </c>
      <c r="L20" s="7"/>
      <c r="M20" s="459">
        <f>IF(G20&lt;&gt;"bitte wählen",HLOOKUP(G20,Datengrundlage!$AS$11:$BD$12,2,FALSE)*K20,0)</f>
        <v>0</v>
      </c>
    </row>
    <row r="21" spans="1:13" ht="10.199999999999999" customHeight="1" thickBot="1" x14ac:dyDescent="0.3">
      <c r="A21" s="14"/>
      <c r="B21" s="597" t="s">
        <v>658</v>
      </c>
      <c r="C21" s="579"/>
      <c r="D21" s="9"/>
      <c r="E21" s="671"/>
      <c r="F21" s="26"/>
      <c r="G21" s="456"/>
      <c r="H21" s="456"/>
      <c r="I21" s="456"/>
      <c r="J21" s="11"/>
      <c r="K21" s="465"/>
      <c r="L21" s="7"/>
      <c r="M21" s="461"/>
    </row>
    <row r="22" spans="1:13" ht="14.4" thickBot="1" x14ac:dyDescent="0.3">
      <c r="A22" s="14"/>
      <c r="B22" s="455" t="s">
        <v>688</v>
      </c>
      <c r="C22" s="469">
        <v>0</v>
      </c>
      <c r="D22" s="9" t="s">
        <v>0</v>
      </c>
      <c r="E22" s="671"/>
      <c r="F22" s="26"/>
      <c r="G22" s="672" t="s">
        <v>38</v>
      </c>
      <c r="H22" s="673"/>
      <c r="I22" s="674"/>
      <c r="J22" s="11"/>
      <c r="K22" s="453">
        <v>0</v>
      </c>
      <c r="L22" s="7"/>
      <c r="M22" s="459">
        <f>IF(G22&lt;&gt;"bitte wählen",HLOOKUP(G22,Datengrundlage!$AS$11:$BD$12,2,FALSE)*K22,0)</f>
        <v>0</v>
      </c>
    </row>
    <row r="23" spans="1:13" ht="12.6" customHeight="1" thickBot="1" x14ac:dyDescent="0.3">
      <c r="A23" s="14"/>
      <c r="B23" s="597" t="s">
        <v>689</v>
      </c>
      <c r="C23" s="579"/>
      <c r="D23" s="9"/>
      <c r="E23" s="671"/>
      <c r="F23" s="26"/>
      <c r="G23" s="456"/>
      <c r="H23" s="456"/>
      <c r="I23" s="456"/>
      <c r="J23" s="11"/>
      <c r="K23" s="465"/>
      <c r="L23" s="7"/>
      <c r="M23" s="461"/>
    </row>
    <row r="24" spans="1:13" ht="14.4" thickBot="1" x14ac:dyDescent="0.3">
      <c r="A24" s="14"/>
      <c r="B24" s="39" t="s">
        <v>45</v>
      </c>
      <c r="C24" s="469">
        <v>0</v>
      </c>
      <c r="D24" s="9" t="s">
        <v>0</v>
      </c>
      <c r="E24" s="671"/>
      <c r="F24" s="26"/>
      <c r="G24" s="672" t="s">
        <v>38</v>
      </c>
      <c r="H24" s="673"/>
      <c r="I24" s="674"/>
      <c r="J24" s="26"/>
      <c r="K24" s="453">
        <v>0</v>
      </c>
      <c r="L24" s="7"/>
      <c r="M24" s="459">
        <f>IF(G24&lt;&gt;"bitte wählen",HLOOKUP(G24,Datengrundlage!$AS$11:$BD$12,2,FALSE)*K24,0)</f>
        <v>0</v>
      </c>
    </row>
    <row r="25" spans="1:13" ht="10.199999999999999" customHeight="1" thickBot="1" x14ac:dyDescent="0.3">
      <c r="A25" s="14"/>
      <c r="B25" s="39"/>
      <c r="C25" s="468"/>
      <c r="D25" s="9"/>
      <c r="E25" s="671"/>
      <c r="F25" s="26"/>
      <c r="G25" s="12"/>
      <c r="H25" s="9"/>
      <c r="I25" s="9"/>
      <c r="J25" s="9"/>
      <c r="K25" s="464"/>
      <c r="L25" s="7"/>
      <c r="M25" s="460"/>
    </row>
    <row r="26" spans="1:13" ht="14.4" thickBot="1" x14ac:dyDescent="0.3">
      <c r="A26" s="14"/>
      <c r="B26" s="39" t="s">
        <v>514</v>
      </c>
      <c r="C26" s="469">
        <v>0</v>
      </c>
      <c r="D26" s="9" t="s">
        <v>0</v>
      </c>
      <c r="E26" s="671"/>
      <c r="F26" s="26"/>
      <c r="G26" s="672" t="s">
        <v>38</v>
      </c>
      <c r="H26" s="673"/>
      <c r="I26" s="674"/>
      <c r="J26" s="9"/>
      <c r="K26" s="453">
        <v>0</v>
      </c>
      <c r="L26" s="7"/>
      <c r="M26" s="459">
        <f>IF(G26&lt;&gt;"bitte wählen",HLOOKUP(G26,Datengrundlage!$AS$11:$BD$12,2,FALSE)*K26,0)</f>
        <v>0</v>
      </c>
    </row>
    <row r="27" spans="1:13" ht="10.199999999999999" customHeight="1" thickBot="1" x14ac:dyDescent="0.3">
      <c r="A27" s="14"/>
      <c r="B27" s="39"/>
      <c r="C27" s="470"/>
      <c r="D27" s="9"/>
      <c r="E27" s="671"/>
      <c r="F27" s="9"/>
      <c r="G27" s="9"/>
      <c r="H27" s="9"/>
      <c r="I27" s="9"/>
      <c r="J27" s="9"/>
      <c r="K27" s="466"/>
      <c r="L27" s="7"/>
      <c r="M27" s="460"/>
    </row>
    <row r="28" spans="1:13" ht="14.4" thickBot="1" x14ac:dyDescent="0.3">
      <c r="A28" s="14"/>
      <c r="B28" s="39"/>
      <c r="C28" s="579"/>
      <c r="D28" s="9"/>
      <c r="E28" s="671"/>
      <c r="F28" s="9"/>
      <c r="G28" s="672" t="s">
        <v>38</v>
      </c>
      <c r="H28" s="673"/>
      <c r="I28" s="674"/>
      <c r="J28" s="26"/>
      <c r="K28" s="453">
        <v>0</v>
      </c>
      <c r="L28" s="7"/>
      <c r="M28" s="459">
        <f>IF(G28&lt;&gt;"bitte wählen",HLOOKUP(G28,Datengrundlage!$AS$11:$BD$12,2,FALSE)*K28,0)</f>
        <v>0</v>
      </c>
    </row>
    <row r="29" spans="1:13" ht="14.4" customHeight="1" thickBot="1" x14ac:dyDescent="0.3">
      <c r="A29" s="14"/>
      <c r="B29" s="89"/>
      <c r="C29" s="587"/>
      <c r="D29" s="9"/>
      <c r="E29" s="9"/>
      <c r="F29" s="9"/>
      <c r="G29" s="9"/>
      <c r="H29" s="9"/>
      <c r="I29" s="9"/>
      <c r="J29" s="9"/>
      <c r="K29" s="9"/>
      <c r="L29" s="7"/>
      <c r="M29" s="25"/>
    </row>
    <row r="30" spans="1:13" ht="14.4" customHeight="1" thickBot="1" x14ac:dyDescent="0.3">
      <c r="A30" s="14"/>
      <c r="B30" s="590"/>
      <c r="C30" s="587"/>
      <c r="D30" s="509"/>
      <c r="E30" s="9"/>
      <c r="F30" s="9"/>
      <c r="G30" s="26" t="s">
        <v>527</v>
      </c>
      <c r="H30" s="26"/>
      <c r="I30" s="26"/>
      <c r="J30" s="26"/>
      <c r="K30" s="452">
        <f>IFERROR((SUM(M14:M28))/C24,0)</f>
        <v>0</v>
      </c>
      <c r="L30" s="7"/>
      <c r="M30" s="25"/>
    </row>
    <row r="31" spans="1:13" ht="14.4" customHeight="1" x14ac:dyDescent="0.25">
      <c r="A31" s="14"/>
      <c r="B31" s="588"/>
      <c r="C31" s="596"/>
      <c r="D31" s="9"/>
      <c r="E31" s="589"/>
      <c r="F31" s="9"/>
      <c r="G31" s="645" t="s">
        <v>535</v>
      </c>
      <c r="H31" s="645"/>
      <c r="I31" s="645"/>
      <c r="J31" s="9"/>
      <c r="K31" s="9"/>
      <c r="L31" s="7"/>
      <c r="M31" s="25"/>
    </row>
    <row r="32" spans="1:13" ht="14.4" customHeight="1" x14ac:dyDescent="0.25">
      <c r="A32" s="14"/>
      <c r="B32" s="586"/>
      <c r="C32" s="587"/>
      <c r="D32" s="589"/>
      <c r="E32" s="589"/>
      <c r="F32" s="9"/>
      <c r="G32" s="645"/>
      <c r="H32" s="645"/>
      <c r="I32" s="645"/>
      <c r="J32" s="9"/>
      <c r="K32" s="9"/>
      <c r="L32" s="7"/>
      <c r="M32" s="25"/>
    </row>
    <row r="33" spans="1:13" ht="14.4" customHeight="1" x14ac:dyDescent="0.25">
      <c r="A33" s="14"/>
      <c r="B33" s="588"/>
      <c r="C33" s="596"/>
      <c r="D33" s="9"/>
      <c r="E33" s="589"/>
      <c r="F33" s="9"/>
      <c r="G33" s="645"/>
      <c r="H33" s="645"/>
      <c r="I33" s="645"/>
      <c r="J33" s="9"/>
      <c r="K33" s="9"/>
      <c r="L33" s="7"/>
      <c r="M33" s="25"/>
    </row>
    <row r="34" spans="1:13" ht="14.4" customHeight="1" x14ac:dyDescent="0.25">
      <c r="A34" s="14"/>
      <c r="B34" s="586"/>
      <c r="C34" s="587"/>
      <c r="D34" s="589"/>
      <c r="E34" s="589"/>
      <c r="F34" s="9"/>
      <c r="G34" s="645"/>
      <c r="H34" s="645"/>
      <c r="I34" s="645"/>
      <c r="J34" s="9"/>
      <c r="K34" s="9"/>
      <c r="L34" s="7"/>
      <c r="M34" s="25"/>
    </row>
    <row r="35" spans="1:13" ht="14.4" customHeight="1" x14ac:dyDescent="0.25">
      <c r="A35" s="14"/>
      <c r="B35" s="635"/>
      <c r="C35" s="636"/>
      <c r="D35" s="589"/>
      <c r="E35" s="589"/>
      <c r="F35" s="9"/>
      <c r="G35" s="645"/>
      <c r="H35" s="645"/>
      <c r="I35" s="645"/>
      <c r="J35" s="9"/>
      <c r="K35" s="9"/>
      <c r="L35" s="7"/>
      <c r="M35" s="25"/>
    </row>
    <row r="36" spans="1:13" ht="14.4" customHeight="1" thickBot="1" x14ac:dyDescent="0.3">
      <c r="A36" s="14"/>
      <c r="B36" s="635"/>
      <c r="C36" s="636"/>
      <c r="D36" s="509"/>
      <c r="E36" s="509"/>
      <c r="F36" s="9"/>
      <c r="G36" s="9"/>
      <c r="H36" s="9"/>
      <c r="I36" s="9"/>
      <c r="J36" s="9"/>
      <c r="K36" s="9"/>
      <c r="L36" s="7"/>
      <c r="M36" s="25"/>
    </row>
    <row r="37" spans="1:13" s="26" customFormat="1" ht="14.4" customHeight="1" thickBot="1" x14ac:dyDescent="0.3">
      <c r="A37" s="14"/>
      <c r="B37" s="637"/>
      <c r="C37" s="638"/>
      <c r="D37" s="41"/>
      <c r="E37" s="41"/>
      <c r="F37" s="41"/>
      <c r="G37" s="67" t="s">
        <v>472</v>
      </c>
      <c r="H37" s="41"/>
      <c r="I37" s="41"/>
      <c r="J37" s="41"/>
      <c r="K37" s="457" t="s">
        <v>99</v>
      </c>
      <c r="L37" s="28"/>
      <c r="M37" s="458" t="str">
        <f ca="1">IF(AND(K37="bitte wählen",SUMIF(G14:I28,Datengrundlage!AE7,Basisprämie!K14:K28)+SUMIF(Basisprämie!G14:I28,Datengrundlage!AE8,Basisprämie!K14:K28)&gt;=3),"Auswahl nötig!",IF(AND(SUMIF(G14:I28,Datengrundlage!AX11,Basisprämie!K14:K28)&gt;=1,K37="nein"),"Auswahl beachten!",""))</f>
        <v/>
      </c>
    </row>
    <row r="38" spans="1:13" s="26" customFormat="1" ht="14.4" customHeight="1" thickTop="1" x14ac:dyDescent="0.25">
      <c r="A38" s="14"/>
      <c r="B38" s="9"/>
      <c r="C38" s="9"/>
      <c r="D38" s="9"/>
      <c r="E38" s="9"/>
      <c r="F38" s="9"/>
      <c r="G38" s="12"/>
      <c r="H38" s="9"/>
      <c r="I38" s="9"/>
      <c r="J38" s="9"/>
      <c r="K38" s="454"/>
      <c r="L38" s="7"/>
      <c r="M38" s="7"/>
    </row>
    <row r="39" spans="1:13" x14ac:dyDescent="0.25">
      <c r="A39" s="14"/>
      <c r="B39" s="9"/>
      <c r="C39" s="9"/>
      <c r="D39" s="9"/>
      <c r="E39" s="9"/>
      <c r="F39" s="9"/>
      <c r="G39" s="9"/>
      <c r="H39" s="9"/>
      <c r="I39" s="9"/>
      <c r="J39" s="9"/>
      <c r="K39" s="9"/>
      <c r="L39" s="7"/>
      <c r="M39" s="7"/>
    </row>
    <row r="40" spans="1:13" ht="16.2" thickBot="1" x14ac:dyDescent="0.3">
      <c r="A40" s="14"/>
      <c r="B40" s="17" t="s">
        <v>699</v>
      </c>
      <c r="C40" s="9"/>
      <c r="D40" s="9"/>
      <c r="E40" s="9"/>
      <c r="F40" s="9"/>
      <c r="G40" s="9"/>
      <c r="H40" s="9"/>
      <c r="I40" s="9"/>
      <c r="J40" s="9"/>
      <c r="K40" s="9"/>
      <c r="L40" s="7"/>
      <c r="M40" s="7"/>
    </row>
    <row r="41" spans="1:13" ht="6.75" customHeight="1" thickTop="1" thickBot="1" x14ac:dyDescent="0.3">
      <c r="B41" s="21"/>
      <c r="C41" s="22"/>
      <c r="D41" s="22"/>
      <c r="E41" s="23"/>
      <c r="F41" s="7"/>
      <c r="G41" s="7"/>
      <c r="H41" s="7"/>
      <c r="I41" s="7"/>
    </row>
    <row r="42" spans="1:13" ht="21" customHeight="1" thickBot="1" x14ac:dyDescent="0.3">
      <c r="B42" s="24"/>
      <c r="C42" s="659">
        <v>2026</v>
      </c>
      <c r="D42" s="660"/>
      <c r="E42" s="661"/>
      <c r="F42" s="7"/>
      <c r="G42" s="7"/>
      <c r="H42" s="560" t="s">
        <v>627</v>
      </c>
      <c r="I42" s="561"/>
      <c r="J42" s="539"/>
      <c r="K42" s="273"/>
    </row>
    <row r="43" spans="1:13" ht="14.4" thickBot="1" x14ac:dyDescent="0.3">
      <c r="B43" s="45"/>
      <c r="C43" s="47"/>
      <c r="D43" s="50" t="s">
        <v>538</v>
      </c>
      <c r="E43" s="51" t="s">
        <v>30</v>
      </c>
      <c r="F43" s="7"/>
      <c r="G43" s="7"/>
      <c r="H43" s="646" t="s">
        <v>649</v>
      </c>
      <c r="I43" s="647"/>
      <c r="J43" s="647"/>
      <c r="K43" s="648"/>
    </row>
    <row r="44" spans="1:13" ht="13.95" customHeight="1" x14ac:dyDescent="0.25">
      <c r="B44" s="52" t="s">
        <v>27</v>
      </c>
      <c r="C44" s="48"/>
      <c r="D44" s="641">
        <f>IF(C42="Jahr wählen",0,HLOOKUP($C$42,Datengrundlage!$AE$2:$AI$9,2))</f>
        <v>147</v>
      </c>
      <c r="E44" s="643">
        <f>C14*D44</f>
        <v>0</v>
      </c>
      <c r="F44" s="7"/>
      <c r="G44" s="7"/>
      <c r="H44" s="646"/>
      <c r="I44" s="647"/>
      <c r="J44" s="647"/>
      <c r="K44" s="648"/>
    </row>
    <row r="45" spans="1:13" ht="15" customHeight="1" x14ac:dyDescent="0.25">
      <c r="B45" s="53" t="s">
        <v>29</v>
      </c>
      <c r="C45" s="48"/>
      <c r="D45" s="642"/>
      <c r="E45" s="644"/>
      <c r="F45" s="7"/>
      <c r="G45" s="7"/>
      <c r="H45" s="646"/>
      <c r="I45" s="647"/>
      <c r="J45" s="647"/>
      <c r="K45" s="648"/>
    </row>
    <row r="46" spans="1:13" ht="15" x14ac:dyDescent="0.25">
      <c r="B46" s="59"/>
      <c r="C46" s="58"/>
      <c r="D46" s="499"/>
      <c r="E46" s="502"/>
      <c r="F46" s="7"/>
      <c r="G46" s="7"/>
      <c r="H46" s="646"/>
      <c r="I46" s="647"/>
      <c r="J46" s="647"/>
      <c r="K46" s="648"/>
    </row>
    <row r="47" spans="1:13" ht="15" x14ac:dyDescent="0.25">
      <c r="B47" s="52" t="s">
        <v>25</v>
      </c>
      <c r="C47" s="48"/>
      <c r="D47" s="500"/>
      <c r="E47" s="503"/>
      <c r="F47" s="7"/>
      <c r="G47" s="7"/>
      <c r="H47" s="646"/>
      <c r="I47" s="647"/>
      <c r="J47" s="647"/>
      <c r="K47" s="648"/>
    </row>
    <row r="48" spans="1:13" ht="15.6" thickBot="1" x14ac:dyDescent="0.3">
      <c r="B48" s="54"/>
      <c r="C48" s="48" t="s">
        <v>31</v>
      </c>
      <c r="D48" s="500">
        <f>IF(C42="Jahr wählen",0,HLOOKUP($C$42,Datengrundlage!$AE$2:$AI$9,3))</f>
        <v>67</v>
      </c>
      <c r="E48" s="503">
        <f>IF(AND(C14&gt;=1,C14&lt;=40),C14*D48,IF(C14&gt;=40,D48*40,0))</f>
        <v>0</v>
      </c>
      <c r="F48" s="7"/>
      <c r="G48" s="7"/>
      <c r="H48" s="649"/>
      <c r="I48" s="650"/>
      <c r="J48" s="650"/>
      <c r="K48" s="651"/>
    </row>
    <row r="49" spans="2:13" ht="15" x14ac:dyDescent="0.25">
      <c r="B49" s="54"/>
      <c r="C49" s="48" t="s">
        <v>32</v>
      </c>
      <c r="D49" s="500">
        <f>IF(C42="Jahr wählen",0,HLOOKUP($C$42,Datengrundlage!$AE$2:$AI$9,4))</f>
        <v>39</v>
      </c>
      <c r="E49" s="503">
        <f>IF(AND(C14&gt;40,C14&lt;=60),(C14-40)*D49,IF(C14&gt;=60,D49*20,0))</f>
        <v>0</v>
      </c>
      <c r="F49" s="7"/>
      <c r="G49" s="227"/>
      <c r="H49" s="7"/>
      <c r="I49" s="7"/>
    </row>
    <row r="50" spans="2:13" ht="15" x14ac:dyDescent="0.25">
      <c r="B50" s="59"/>
      <c r="C50" s="58"/>
      <c r="D50" s="499"/>
      <c r="E50" s="502"/>
      <c r="F50" s="7"/>
      <c r="G50" s="7"/>
      <c r="H50" s="7"/>
      <c r="I50" s="7"/>
    </row>
    <row r="51" spans="2:13" ht="15" x14ac:dyDescent="0.25">
      <c r="B51" s="52" t="s">
        <v>26</v>
      </c>
      <c r="C51" s="48"/>
      <c r="D51" s="500"/>
      <c r="E51" s="503"/>
      <c r="F51" s="7"/>
      <c r="G51" s="7"/>
      <c r="H51" s="7"/>
      <c r="I51" s="7"/>
    </row>
    <row r="52" spans="2:13" ht="15" x14ac:dyDescent="0.25">
      <c r="B52" s="54"/>
      <c r="C52" s="48" t="s">
        <v>33</v>
      </c>
      <c r="D52" s="500">
        <f>IF(C42="Jahr wählen",0,HLOOKUP($C$42,Datengrundlage!$AE$2:$AI$9,5))</f>
        <v>134</v>
      </c>
      <c r="E52" s="503">
        <f>IF(AND($C$10="ja",$C$14&lt;=120),C14*D52,IF(AND($C$10="ja",$C$14&gt;120),D52*120,0))</f>
        <v>0</v>
      </c>
      <c r="F52" s="7"/>
      <c r="G52" s="7"/>
      <c r="H52" s="7"/>
      <c r="I52" s="7"/>
    </row>
    <row r="53" spans="2:13" ht="15" x14ac:dyDescent="0.25">
      <c r="B53" s="59"/>
      <c r="C53" s="58"/>
      <c r="D53" s="499"/>
      <c r="E53" s="502"/>
      <c r="F53" s="7"/>
      <c r="G53" s="7"/>
      <c r="H53" s="7"/>
      <c r="I53" s="7"/>
    </row>
    <row r="54" spans="2:13" ht="15" x14ac:dyDescent="0.25">
      <c r="B54" s="52" t="s">
        <v>28</v>
      </c>
      <c r="C54" s="48"/>
      <c r="D54" s="500"/>
      <c r="E54" s="503"/>
      <c r="F54" s="7"/>
      <c r="G54" s="7"/>
      <c r="H54" s="7"/>
      <c r="I54" s="7"/>
    </row>
    <row r="55" spans="2:13" ht="15" customHeight="1" x14ac:dyDescent="0.25">
      <c r="B55" s="55" t="s">
        <v>481</v>
      </c>
      <c r="C55" s="48" t="s">
        <v>40</v>
      </c>
      <c r="D55" s="500">
        <f>IF(C42="Jahr wählen",0,HLOOKUP($C$42,Datengrundlage!$AE$2:$AI$9,6))</f>
        <v>85</v>
      </c>
      <c r="E55" s="503">
        <f ca="1">IF(AND(SUMIF($G$14:$I$28,Datengrundlage!AE7,Basisprämie!K14:K28)+SUMIF(G14:I28,Datengrundlage!AE8,Basisprämie!K14:K28)&gt;=3,K37="nein"),(SUMIF(G14:I28,Datengrundlage!AE7,Basisprämie!K14:K28)+SUMIF(G14:I28,Datengrundlage!AE8,Basisprämie!K14:K28))*D55,0)</f>
        <v>0</v>
      </c>
      <c r="F55" s="639" t="str">
        <f ca="1">IF(AND(SUMIF(G14:I28,Datengrundlage!AX11,Basisprämie!K14:K28)&gt;=1,Basisprämie!K37="nein"),"Achtung: Es wurden ebenfalls Milchkühe eingetragen. Bitte die Abgabe von Kuhmilch bzw- milcherzeunissen überpüfen!","")</f>
        <v/>
      </c>
      <c r="G55" s="640"/>
      <c r="H55" s="640"/>
      <c r="I55" s="640"/>
      <c r="J55" s="640"/>
      <c r="K55" s="640"/>
    </row>
    <row r="56" spans="2:13" ht="15" x14ac:dyDescent="0.25">
      <c r="B56" s="54"/>
      <c r="C56" s="48"/>
      <c r="D56" s="500"/>
      <c r="E56" s="503"/>
      <c r="F56" s="639"/>
      <c r="G56" s="640"/>
      <c r="H56" s="640"/>
      <c r="I56" s="640"/>
      <c r="J56" s="640"/>
      <c r="K56" s="640"/>
    </row>
    <row r="57" spans="2:13" ht="15.6" thickBot="1" x14ac:dyDescent="0.3">
      <c r="B57" s="56" t="s">
        <v>491</v>
      </c>
      <c r="C57" s="49" t="s">
        <v>41</v>
      </c>
      <c r="D57" s="501">
        <f>IF(C42="Jahr wählen",0,HLOOKUP($C$42,Datengrundlage!$AE$2:$AI$9,8))</f>
        <v>37</v>
      </c>
      <c r="E57" s="504">
        <f ca="1">IF(SUMIF(G14:I28,Datengrundlage!AE9,Basisprämie!K14:K28)&gt;=6,SUMIF(G14:I28,Datengrundlage!AE9,Basisprämie!K14:K28)*Basisprämie!D57,0)</f>
        <v>0</v>
      </c>
      <c r="F57" s="7"/>
      <c r="G57" s="7"/>
      <c r="H57" s="7"/>
      <c r="I57" s="7"/>
    </row>
    <row r="58" spans="2:13" ht="14.4" customHeight="1" thickTop="1" x14ac:dyDescent="0.25">
      <c r="B58" s="653" t="s">
        <v>42</v>
      </c>
      <c r="C58" s="60"/>
      <c r="D58" s="655">
        <f ca="1">IFERROR(E58/C14,0)</f>
        <v>0</v>
      </c>
      <c r="E58" s="657">
        <f ca="1">SUM(E44:E57)</f>
        <v>0</v>
      </c>
      <c r="F58" s="7"/>
      <c r="G58" s="227"/>
      <c r="H58" s="7"/>
      <c r="I58" s="7"/>
    </row>
    <row r="59" spans="2:13" ht="18" thickBot="1" x14ac:dyDescent="0.3">
      <c r="B59" s="654"/>
      <c r="C59" s="61"/>
      <c r="D59" s="656"/>
      <c r="E59" s="658"/>
      <c r="F59" s="7"/>
      <c r="G59" s="227"/>
      <c r="H59" s="7"/>
      <c r="I59" s="7"/>
    </row>
    <row r="60" spans="2:13" ht="17.399999999999999" thickTop="1" x14ac:dyDescent="0.3">
      <c r="B60" s="598"/>
      <c r="C60" s="599"/>
      <c r="D60" s="652"/>
      <c r="E60" s="652"/>
      <c r="F60" s="7"/>
      <c r="G60" s="7"/>
      <c r="H60" s="7"/>
      <c r="I60" s="7"/>
    </row>
    <row r="61" spans="2:13" x14ac:dyDescent="0.25">
      <c r="B61" s="7"/>
      <c r="C61" s="7"/>
      <c r="D61" s="7"/>
      <c r="E61" s="7"/>
      <c r="F61" s="7"/>
      <c r="G61" s="7"/>
      <c r="H61" s="7"/>
      <c r="I61" s="7"/>
      <c r="J61" s="7"/>
      <c r="K61" s="7"/>
      <c r="L61" s="7"/>
      <c r="M61" s="7"/>
    </row>
    <row r="62" spans="2:13" x14ac:dyDescent="0.25">
      <c r="B62" s="6"/>
      <c r="C62" s="6"/>
      <c r="D62" s="228"/>
      <c r="E62" s="6"/>
      <c r="F62" s="6"/>
      <c r="G62" s="6"/>
      <c r="H62" s="6"/>
      <c r="I62" s="6"/>
      <c r="J62" s="6"/>
      <c r="K62" s="6"/>
      <c r="L62" s="6"/>
      <c r="M62" s="6"/>
    </row>
  </sheetData>
  <sheetProtection algorithmName="SHA-512" hashValue="esed2eQmlQSzxGm4Z2XGxdQ21QX/dfhEFan8EULl04mVqHiVv6p3VwRBPG9wf0rSQmW7lZSLYUYbrV2BSWheog==" saltValue="2+tpYfLsvJWl8TLNf6JNdw==" spinCount="100000" sheet="1" selectLockedCells="1"/>
  <mergeCells count="24">
    <mergeCell ref="H7:M7"/>
    <mergeCell ref="H9:M10"/>
    <mergeCell ref="E16:E28"/>
    <mergeCell ref="G14:I14"/>
    <mergeCell ref="G16:I16"/>
    <mergeCell ref="G18:I18"/>
    <mergeCell ref="G20:I20"/>
    <mergeCell ref="G22:I22"/>
    <mergeCell ref="G24:I24"/>
    <mergeCell ref="G26:I26"/>
    <mergeCell ref="G28:I28"/>
    <mergeCell ref="J12:K12"/>
    <mergeCell ref="J13:K13"/>
    <mergeCell ref="D60:E60"/>
    <mergeCell ref="B58:B59"/>
    <mergeCell ref="D58:D59"/>
    <mergeCell ref="E58:E59"/>
    <mergeCell ref="C42:E42"/>
    <mergeCell ref="B35:C37"/>
    <mergeCell ref="F55:K56"/>
    <mergeCell ref="D44:D45"/>
    <mergeCell ref="E44:E45"/>
    <mergeCell ref="G31:I35"/>
    <mergeCell ref="H43:K48"/>
  </mergeCells>
  <conditionalFormatting sqref="B35:C37">
    <cfRule type="containsText" dxfId="37" priority="3" operator="containsText" text="Eingabe der Stillegungsflächen für die Ausnahme 2024 überprüfen!">
      <formula>NOT(ISERROR(SEARCH("Eingabe der Stillegungsflächen für die Ausnahme 2024 überprüfen!",B35)))</formula>
    </cfRule>
    <cfRule type="containsText" dxfId="36" priority="4" operator="containsText" text="Stilllegungsfläche von 4 % der AF nicht erreicht!">
      <formula>NOT(ISERROR(SEARCH("Stilllegungsfläche von 4 % der AF nicht erreicht!",B35)))</formula>
    </cfRule>
  </conditionalFormatting>
  <conditionalFormatting sqref="C28">
    <cfRule type="cellIs" dxfId="35" priority="2" operator="lessThan">
      <formula>0</formula>
    </cfRule>
  </conditionalFormatting>
  <dataValidations count="5">
    <dataValidation type="list" allowBlank="1" showInputMessage="1" showErrorMessage="1" sqref="C8" xr:uid="{00000000-0002-0000-0200-000000000000}">
      <formula1>wirtschaftsform</formula1>
    </dataValidation>
    <dataValidation type="list" allowBlank="1" showInputMessage="1" showErrorMessage="1" sqref="C10" xr:uid="{00000000-0002-0000-0200-000001000000}">
      <formula1>jundlandw</formula1>
    </dataValidation>
    <dataValidation type="list" allowBlank="1" showInputMessage="1" showErrorMessage="1" sqref="C42:E42" xr:uid="{00000000-0002-0000-0200-000002000000}">
      <formula1>Jahr</formula1>
    </dataValidation>
    <dataValidation type="list" allowBlank="1" showInputMessage="1" showErrorMessage="1" sqref="G28:I28 G14:I14 G16:I16 G18:I18 G20:I20 G22:I22 G24:I24 G26:I26" xr:uid="{00000000-0002-0000-0200-000003000000}">
      <formula1>RGV</formula1>
    </dataValidation>
    <dataValidation type="list" allowBlank="1" showInputMessage="1" showErrorMessage="1" sqref="K37" xr:uid="{00000000-0002-0000-0200-000004000000}">
      <formula1>milch</formula1>
    </dataValidation>
  </dataValidations>
  <pageMargins left="0.70866141732283472" right="0.70866141732283472" top="0.78740157480314965" bottom="0.78740157480314965" header="0.31496062992125984" footer="0.31496062992125984"/>
  <pageSetup paperSize="9" scale="58" orientation="landscape" r:id="rId1"/>
  <headerFooter>
    <oddFooter>&amp;L&amp;8&amp;A&amp;R&amp;8&amp;F</oddFooter>
  </headerFooter>
  <extLst>
    <ext xmlns:x14="http://schemas.microsoft.com/office/spreadsheetml/2009/9/main" uri="{78C0D931-6437-407d-A8EE-F0AAD7539E65}">
      <x14:conditionalFormattings>
        <x14:conditionalFormatting xmlns:xm="http://schemas.microsoft.com/office/excel/2006/main">
          <x14:cfRule type="expression" priority="5" id="{8CBD12EE-8A30-4AD9-A5B0-D04F0F7FE93B}">
            <xm:f>'Öko-Regelungen'!$K$12&gt;=2025</xm:f>
            <x14:dxf>
              <font>
                <color theme="0"/>
              </font>
              <border>
                <left/>
                <right/>
                <top/>
                <bottom/>
              </border>
            </x14:dxf>
          </x14:cfRule>
          <xm:sqref>H42:K48</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5000000}">
          <x14:formula1>
            <xm:f>Datengrundlage!$AS$4:$AU$4</xm:f>
          </x14:formula1>
          <xm:sqref>K38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6">
    <pageSetUpPr fitToPage="1"/>
  </sheetPr>
  <dimension ref="A2:Q74"/>
  <sheetViews>
    <sheetView showGridLines="0" zoomScale="110" zoomScaleNormal="110" workbookViewId="0">
      <selection activeCell="K23" sqref="K23:K25"/>
    </sheetView>
  </sheetViews>
  <sheetFormatPr baseColWidth="10" defaultRowHeight="13.8" x14ac:dyDescent="0.25"/>
  <cols>
    <col min="1" max="1" width="6" customWidth="1"/>
    <col min="2" max="2" width="5.5" customWidth="1"/>
    <col min="3" max="3" width="20" customWidth="1"/>
    <col min="4" max="4" width="11" customWidth="1"/>
    <col min="5" max="6" width="14.19921875" customWidth="1"/>
    <col min="7" max="7" width="12.59765625" customWidth="1"/>
    <col min="8" max="8" width="17.8984375" customWidth="1"/>
    <col min="9" max="9" width="9.69921875" customWidth="1"/>
    <col min="10" max="10" width="28.69921875" customWidth="1"/>
    <col min="11" max="11" width="12.69921875" customWidth="1"/>
    <col min="12" max="12" width="14.59765625" customWidth="1"/>
    <col min="13" max="13" width="38.09765625" customWidth="1"/>
  </cols>
  <sheetData>
    <row r="2" spans="1:17" ht="24.6" x14ac:dyDescent="0.25">
      <c r="B2" s="20" t="s">
        <v>532</v>
      </c>
      <c r="E2" s="6"/>
      <c r="F2" s="6"/>
      <c r="G2" s="6"/>
      <c r="H2" s="6"/>
      <c r="I2" s="6"/>
      <c r="J2" s="6"/>
      <c r="K2" s="6"/>
      <c r="L2" s="6"/>
      <c r="M2" s="6"/>
      <c r="N2" s="583"/>
      <c r="P2" s="6"/>
      <c r="Q2" s="6"/>
    </row>
    <row r="3" spans="1:17" ht="17.399999999999999" x14ac:dyDescent="0.25">
      <c r="B3" s="113" t="s">
        <v>531</v>
      </c>
      <c r="E3" s="6"/>
      <c r="F3" s="6"/>
      <c r="G3" s="6"/>
      <c r="H3" s="6"/>
      <c r="I3" s="6"/>
      <c r="J3" s="6"/>
      <c r="K3" s="6"/>
      <c r="L3" s="6"/>
      <c r="M3" s="6"/>
      <c r="N3" s="6"/>
      <c r="P3" s="6"/>
      <c r="Q3" s="6"/>
    </row>
    <row r="4" spans="1:17" ht="14.4" thickBot="1" x14ac:dyDescent="0.3">
      <c r="D4" s="6"/>
      <c r="E4" s="6"/>
      <c r="F4" s="6"/>
      <c r="G4" s="6"/>
      <c r="H4" s="6"/>
      <c r="I4" s="6"/>
      <c r="J4" s="6"/>
      <c r="K4" s="6"/>
      <c r="L4" s="6"/>
      <c r="M4" s="6"/>
      <c r="N4" s="6"/>
      <c r="P4" s="6"/>
      <c r="Q4" s="6"/>
    </row>
    <row r="5" spans="1:17" ht="15" thickTop="1" thickBot="1" x14ac:dyDescent="0.3">
      <c r="A5" s="14"/>
      <c r="B5" s="33" t="s">
        <v>67</v>
      </c>
      <c r="C5" s="35"/>
      <c r="D5" s="34"/>
      <c r="E5" s="34"/>
      <c r="F5" s="35"/>
      <c r="G5" s="35"/>
      <c r="H5" s="35"/>
      <c r="I5" s="35"/>
      <c r="J5" s="36"/>
      <c r="K5" s="34"/>
      <c r="L5" s="37"/>
      <c r="N5" s="9"/>
      <c r="P5" s="6"/>
      <c r="Q5" s="6"/>
    </row>
    <row r="6" spans="1:17" ht="14.4" thickBot="1" x14ac:dyDescent="0.3">
      <c r="A6" s="14"/>
      <c r="B6" s="63" t="s">
        <v>199</v>
      </c>
      <c r="C6" s="26"/>
      <c r="D6" s="9"/>
      <c r="E6" s="9"/>
      <c r="F6" s="26"/>
      <c r="G6" s="26"/>
      <c r="H6" s="26"/>
      <c r="I6" s="26"/>
      <c r="J6" s="16" t="s">
        <v>9</v>
      </c>
      <c r="K6" s="188" t="str">
        <f>Basisprämie!C8</f>
        <v>bitte wählen</v>
      </c>
      <c r="L6" s="40"/>
      <c r="N6" s="9"/>
      <c r="P6" s="6"/>
      <c r="Q6" s="6"/>
    </row>
    <row r="7" spans="1:17" ht="6" customHeight="1" thickBot="1" x14ac:dyDescent="0.3">
      <c r="A7" s="14"/>
      <c r="B7" s="69"/>
      <c r="C7" s="68"/>
      <c r="D7" s="9"/>
      <c r="E7" s="9"/>
      <c r="F7" s="26"/>
      <c r="G7" s="26"/>
      <c r="H7" s="26"/>
      <c r="I7" s="26"/>
      <c r="J7" s="15"/>
      <c r="K7" s="9"/>
      <c r="L7" s="40"/>
      <c r="N7" s="9"/>
      <c r="O7" s="9"/>
      <c r="P7" s="6"/>
      <c r="Q7" s="6"/>
    </row>
    <row r="8" spans="1:17" ht="15.75" customHeight="1" thickBot="1" x14ac:dyDescent="0.3">
      <c r="A8" s="14"/>
      <c r="B8" s="38" t="s">
        <v>47</v>
      </c>
      <c r="D8" s="472">
        <f>Basisprämie!C14</f>
        <v>0</v>
      </c>
      <c r="E8" s="9" t="s">
        <v>0</v>
      </c>
      <c r="F8" s="57"/>
      <c r="G8" s="26"/>
      <c r="H8" s="26"/>
      <c r="I8" s="26"/>
      <c r="J8" s="9" t="s">
        <v>46</v>
      </c>
      <c r="K8" s="467">
        <f>Basisprämie!C26</f>
        <v>0</v>
      </c>
      <c r="L8" s="40" t="s">
        <v>0</v>
      </c>
      <c r="N8" s="10"/>
      <c r="O8" s="72"/>
      <c r="P8" s="7"/>
      <c r="Q8" s="7"/>
    </row>
    <row r="9" spans="1:17" ht="7.5" customHeight="1" thickBot="1" x14ac:dyDescent="0.3">
      <c r="A9" s="14"/>
      <c r="B9" s="38"/>
      <c r="D9" s="473"/>
      <c r="E9" s="9"/>
      <c r="F9" s="57"/>
      <c r="G9" s="26"/>
      <c r="H9" s="26"/>
      <c r="I9" s="26"/>
      <c r="J9" s="9"/>
      <c r="K9" s="470"/>
      <c r="L9" s="40"/>
      <c r="N9" s="10"/>
      <c r="O9" s="18"/>
      <c r="P9" s="7"/>
      <c r="Q9" s="7"/>
    </row>
    <row r="10" spans="1:17" ht="14.4" thickBot="1" x14ac:dyDescent="0.3">
      <c r="A10" s="14"/>
      <c r="B10" s="39" t="s">
        <v>44</v>
      </c>
      <c r="D10" s="472">
        <f>Basisprämie!C16</f>
        <v>0</v>
      </c>
      <c r="E10" s="9" t="s">
        <v>0</v>
      </c>
      <c r="F10" s="57"/>
      <c r="G10" s="26"/>
      <c r="H10" s="26"/>
      <c r="I10" s="26"/>
      <c r="J10" s="9" t="s">
        <v>661</v>
      </c>
      <c r="K10" s="471">
        <f>Basisprämie!C22</f>
        <v>0</v>
      </c>
      <c r="L10" s="40" t="s">
        <v>0</v>
      </c>
      <c r="N10" s="11"/>
      <c r="O10" s="19"/>
      <c r="P10" s="7"/>
      <c r="Q10" s="7"/>
    </row>
    <row r="11" spans="1:17" ht="7.5" customHeight="1" thickBot="1" x14ac:dyDescent="0.3">
      <c r="A11" s="14"/>
      <c r="B11" s="39"/>
      <c r="D11" s="473"/>
      <c r="E11" s="9"/>
      <c r="F11" s="57"/>
      <c r="G11" s="26"/>
      <c r="H11" s="26"/>
      <c r="I11" s="26"/>
      <c r="J11" s="43"/>
      <c r="K11" s="9"/>
      <c r="L11" s="40"/>
      <c r="N11" s="11"/>
      <c r="O11" s="18"/>
      <c r="P11" s="7"/>
      <c r="Q11" s="7"/>
    </row>
    <row r="12" spans="1:17" ht="14.4" thickBot="1" x14ac:dyDescent="0.3">
      <c r="A12" s="14"/>
      <c r="B12" s="39" t="s">
        <v>45</v>
      </c>
      <c r="D12" s="472">
        <f>Basisprämie!C24</f>
        <v>0</v>
      </c>
      <c r="E12" s="9" t="s">
        <v>0</v>
      </c>
      <c r="F12" s="57"/>
      <c r="G12" s="26"/>
      <c r="H12" s="26"/>
      <c r="I12" s="26"/>
      <c r="J12" s="12" t="s">
        <v>65</v>
      </c>
      <c r="K12" s="74">
        <f>Basisprämie!C42</f>
        <v>2026</v>
      </c>
      <c r="L12" s="40"/>
      <c r="N12" s="9"/>
      <c r="O12" s="18"/>
      <c r="P12" s="7"/>
      <c r="Q12" s="7"/>
    </row>
    <row r="13" spans="1:17" ht="6.75" customHeight="1" thickBot="1" x14ac:dyDescent="0.3">
      <c r="A13" s="14"/>
      <c r="B13" s="70"/>
      <c r="C13" s="41"/>
      <c r="D13" s="65"/>
      <c r="E13" s="41"/>
      <c r="F13" s="66"/>
      <c r="G13" s="27"/>
      <c r="H13" s="27"/>
      <c r="I13" s="27"/>
      <c r="J13" s="67"/>
      <c r="K13" s="41"/>
      <c r="L13" s="42"/>
      <c r="N13" s="9"/>
      <c r="O13" s="18"/>
      <c r="P13" s="7"/>
      <c r="Q13" s="7"/>
    </row>
    <row r="14" spans="1:17" ht="14.4" thickTop="1" x14ac:dyDescent="0.25">
      <c r="A14" s="14"/>
      <c r="B14" s="14"/>
      <c r="C14" s="14"/>
      <c r="D14" s="26"/>
      <c r="E14" s="26"/>
      <c r="F14" s="26"/>
      <c r="G14" s="57"/>
      <c r="H14" s="57"/>
      <c r="I14" s="57"/>
      <c r="J14" s="26"/>
      <c r="K14" s="12"/>
      <c r="L14" s="9"/>
      <c r="M14" s="9"/>
      <c r="N14" s="9"/>
      <c r="O14" s="18"/>
      <c r="P14" s="7"/>
      <c r="Q14" s="7"/>
    </row>
    <row r="15" spans="1:17" ht="14.4" thickBot="1" x14ac:dyDescent="0.3">
      <c r="A15" s="14"/>
      <c r="B15" s="14"/>
      <c r="C15" s="14"/>
      <c r="D15" s="26"/>
      <c r="E15" s="26"/>
      <c r="F15" s="26"/>
      <c r="G15" s="9"/>
      <c r="H15" s="9"/>
      <c r="I15" s="9"/>
      <c r="J15" s="9"/>
      <c r="K15" s="9"/>
      <c r="L15" s="9"/>
      <c r="M15" s="9"/>
      <c r="N15" s="9"/>
      <c r="O15" s="9"/>
      <c r="P15" s="7"/>
      <c r="Q15" s="7"/>
    </row>
    <row r="16" spans="1:17" ht="16.2" thickTop="1" x14ac:dyDescent="0.3">
      <c r="A16" s="14"/>
      <c r="B16" s="83" t="s">
        <v>701</v>
      </c>
      <c r="C16" s="84"/>
      <c r="D16" s="35"/>
      <c r="E16" s="35"/>
      <c r="F16" s="35"/>
      <c r="G16" s="34"/>
      <c r="H16" s="34"/>
      <c r="I16" s="34"/>
      <c r="J16" s="34"/>
      <c r="K16" s="734" t="s">
        <v>207</v>
      </c>
      <c r="L16" s="735"/>
      <c r="M16" s="37"/>
      <c r="N16" s="9"/>
      <c r="O16" s="9"/>
      <c r="P16" s="7"/>
      <c r="Q16" s="7"/>
    </row>
    <row r="17" spans="1:17" ht="14.25" customHeight="1" x14ac:dyDescent="0.25">
      <c r="A17" s="14"/>
      <c r="B17" s="677" t="s">
        <v>49</v>
      </c>
      <c r="C17" s="678"/>
      <c r="D17" s="135"/>
      <c r="E17" s="193"/>
      <c r="F17" s="194"/>
      <c r="G17" s="195"/>
      <c r="H17" s="195"/>
      <c r="I17" s="195"/>
      <c r="J17" s="195"/>
      <c r="K17" s="677" t="s">
        <v>64</v>
      </c>
      <c r="L17" s="744" t="s">
        <v>208</v>
      </c>
      <c r="M17" s="740" t="s">
        <v>69</v>
      </c>
      <c r="N17" s="9"/>
      <c r="O17" s="9"/>
      <c r="P17" s="7"/>
      <c r="Q17" s="7"/>
    </row>
    <row r="18" spans="1:17" ht="30.75" customHeight="1" x14ac:dyDescent="0.25">
      <c r="A18" s="14"/>
      <c r="B18" s="679"/>
      <c r="C18" s="680"/>
      <c r="D18" s="200"/>
      <c r="E18" s="196"/>
      <c r="F18" s="153"/>
      <c r="G18" s="197"/>
      <c r="H18" s="197"/>
      <c r="I18" s="197"/>
      <c r="J18" s="197"/>
      <c r="K18" s="679"/>
      <c r="L18" s="745"/>
      <c r="M18" s="741"/>
      <c r="N18" s="9"/>
      <c r="O18" s="9"/>
      <c r="P18" s="7"/>
      <c r="Q18" s="7"/>
    </row>
    <row r="19" spans="1:17" x14ac:dyDescent="0.25">
      <c r="A19" s="14"/>
      <c r="B19" s="136"/>
      <c r="C19" s="14"/>
      <c r="D19" s="137"/>
      <c r="E19" s="9"/>
      <c r="F19" s="9"/>
      <c r="G19" s="9"/>
      <c r="H19" s="9"/>
      <c r="I19" s="9"/>
      <c r="J19" s="9"/>
      <c r="K19" s="201"/>
      <c r="L19" s="139"/>
      <c r="M19" s="40"/>
      <c r="N19" s="9"/>
      <c r="O19" s="9"/>
      <c r="P19" s="7"/>
      <c r="Q19" s="7"/>
    </row>
    <row r="20" spans="1:17" ht="15" customHeight="1" x14ac:dyDescent="0.25">
      <c r="A20" s="14"/>
      <c r="B20" s="681">
        <v>1</v>
      </c>
      <c r="C20" s="682" t="s">
        <v>50</v>
      </c>
      <c r="D20" s="683"/>
      <c r="E20" s="9"/>
      <c r="F20" s="9"/>
      <c r="G20" s="9"/>
      <c r="H20" s="9"/>
      <c r="I20" s="736" t="s">
        <v>211</v>
      </c>
      <c r="J20" s="9"/>
      <c r="K20" s="201"/>
      <c r="L20" s="139"/>
      <c r="M20" s="733" t="str">
        <f>IF(D10&gt;10,"Hinweis: Betriebe mit mehr als 10 ha Ackerfläche können nun 1 ha für den vollen Fördersatz des ersten Prozents stilllegen.","")</f>
        <v/>
      </c>
      <c r="N20" s="9"/>
      <c r="O20" s="9"/>
      <c r="P20" s="7"/>
      <c r="Q20" s="7"/>
    </row>
    <row r="21" spans="1:17" ht="15" customHeight="1" x14ac:dyDescent="0.25">
      <c r="A21" s="14"/>
      <c r="B21" s="681"/>
      <c r="C21" s="682"/>
      <c r="D21" s="683"/>
      <c r="E21" s="9"/>
      <c r="F21" s="9"/>
      <c r="G21" s="9"/>
      <c r="H21" s="9"/>
      <c r="I21" s="736"/>
      <c r="J21" s="737" t="s">
        <v>210</v>
      </c>
      <c r="K21" s="201"/>
      <c r="L21" s="139"/>
      <c r="M21" s="733"/>
      <c r="N21" s="9"/>
      <c r="O21" s="9"/>
      <c r="P21" s="7"/>
      <c r="Q21" s="7"/>
    </row>
    <row r="22" spans="1:17" ht="14.4" thickBot="1" x14ac:dyDescent="0.3">
      <c r="A22" s="14"/>
      <c r="B22" s="138"/>
      <c r="C22" s="14"/>
      <c r="D22" s="139"/>
      <c r="E22" s="704" t="s">
        <v>539</v>
      </c>
      <c r="F22" s="704"/>
      <c r="G22" s="704"/>
      <c r="H22" s="704"/>
      <c r="I22" s="736"/>
      <c r="J22" s="737"/>
      <c r="K22" s="202"/>
      <c r="L22" s="203"/>
      <c r="M22" s="733"/>
      <c r="N22" s="9"/>
      <c r="O22" s="9"/>
      <c r="P22" s="7"/>
      <c r="Q22" s="7"/>
    </row>
    <row r="23" spans="1:17" ht="15.75" customHeight="1" x14ac:dyDescent="0.25">
      <c r="A23" s="14"/>
      <c r="B23" s="681" t="s">
        <v>51</v>
      </c>
      <c r="C23" s="682" t="s">
        <v>659</v>
      </c>
      <c r="D23" s="683"/>
      <c r="E23" s="517" t="s">
        <v>647</v>
      </c>
      <c r="F23" s="73" t="s">
        <v>685</v>
      </c>
      <c r="G23" s="525">
        <f>HLOOKUP('Öko-Regelungen'!K12,Datengrundlage!AE14:AJ29,2)</f>
        <v>1300</v>
      </c>
      <c r="H23" s="9" t="s">
        <v>648</v>
      </c>
      <c r="I23" s="475">
        <f>IF(AND(K23&gt;=E24,D10&gt;10,D10&lt;=100,K23&gt;=1),1,MIN(K23,ROUND($D$10*1%,3)))</f>
        <v>0</v>
      </c>
      <c r="J23" s="131">
        <f>IF(AND(OR(K23&lt;E24,K23&gt;F24),D10&lt;=10,K23&lt;=1),0,IF(AND(K23&gt;=E24,D10&gt;10,D10&lt;=100,K23&lt;&gt;1,SUM(I23:I25)&gt;=1),I23*G23,IF(AND(K23&gt;=E24,D10&gt;10,D10&lt;=100,K23&gt;=1),1300,IF(AND(D10&gt;=100,K23=1),1300,IF(AND(K23&gt;=E24,D10&gt;100),I23*G23,IF(AND(K23&lt;1,D10&gt;10,SUM(I23:I25)&lt;1),G23*K23,0))))))</f>
        <v>0</v>
      </c>
      <c r="K23" s="702">
        <v>0</v>
      </c>
      <c r="L23" s="697">
        <f>SUM(J23:J25)</f>
        <v>0</v>
      </c>
      <c r="M23" s="692" t="str">
        <f>IF(AND(K23&gt;F24,K23&gt;1),"Fläche von 8 % oder 1-ha Regelung überschritten!",IF(AND(K23&gt;0,K23&lt;0.1),"Mindestfläche von 0,1 ha nicht erreicht",IF(Basisprämie!C31="ja","Öko-Regelung 1a kann nicht mit der Regelung von GAPAusnV § 3 kombiniert werden!",IF(AND(K23&gt;F24,K23=1,D10&gt;10),"8 % Ackerfläche überschritten, aber 1 ha-Regelung angewendet",IF(AND(K23&lt;E24,K23=1),"1 % Mindestfläche unterschritten, aber 1 ha-Regelung angewendet",IF(AND(K23&gt;0,D10&lt;=0),"Keine Ackerfläche im Blatt Basisprämie eingetragen",IF(AND(D10&gt;10,D10&lt;100,J23=1300),"1-ha-Regelung angewendet",IF(AND(D10&lt;=10,K23=1,J23=0),"1-ha-Regelung nur für mit Betrieb &gt; 10 ha Ackerfläche",IF(AND(K23&gt;F24,K23&lt;1),"8 % Ackerfläche überschritten, aber 1 ha-Regelung angewendet","")))))))))</f>
        <v/>
      </c>
      <c r="N23" s="9"/>
      <c r="O23" s="9"/>
      <c r="P23" s="7"/>
      <c r="Q23" s="7"/>
    </row>
    <row r="24" spans="1:17" ht="15.75" customHeight="1" x14ac:dyDescent="0.25">
      <c r="A24" s="14"/>
      <c r="B24" s="681"/>
      <c r="C24" s="682"/>
      <c r="D24" s="683"/>
      <c r="E24" s="474">
        <f>D10*0.01</f>
        <v>0</v>
      </c>
      <c r="F24" s="474">
        <f>D10*0.08</f>
        <v>0</v>
      </c>
      <c r="G24" s="525">
        <f>HLOOKUP('Öko-Regelungen'!K12,Datengrundlage!AE14:AJ29,3)</f>
        <v>500</v>
      </c>
      <c r="H24" s="9" t="s">
        <v>209</v>
      </c>
      <c r="I24" s="475">
        <f>IF(AND(K23-I23&gt;0,I23&lt;=E24),MIN(K23-I23,ROUND($D$10*1%,3)),IF(AND(K23-I23&gt;0,I23&gt;E24,I23&lt;(D10*0.02)),MIN(K23-I23,ROUND($D$10*1%,3)-(1-E24)),IF(AND(K23-I23&gt;0,I23&gt;E24,I23&gt;(D10*0.02)),0,0)))</f>
        <v>0</v>
      </c>
      <c r="J24" s="131">
        <f>IF(AND(SUM(I23:I25)&gt;0.01,F25=""),I24*G24,IF(AND(K23&gt;0,SUM(I23:I25)&lt;1.001,D10&gt;=10,D10&lt;100),"Anwendung Stufe 1",IF(AND(K23&gt;0,D10&gt;=10,D10&lt;100,F25&lt;&gt;""),"Anwendung Stufe 1",0)))</f>
        <v>0</v>
      </c>
      <c r="K24" s="742"/>
      <c r="L24" s="739"/>
      <c r="M24" s="692"/>
      <c r="N24" s="584" t="str">
        <f>IF(OR('Öko-Regelungen'!M23="1-ha-Regelung nur für mit Betrieb &gt; 10 ha Ackerfläche",'Öko-Regelungen'!M23="Keine Ackerfläche im Blatt Basisprämie eingetragen",'Öko-Regelungen'!M23="Mindestfläche von 0,1 ha nicht erreicht",'Öko-Regelungen'!M23="Erweiterungsfläche von 6 % oder 1-ha Regelung überschritten!",'Öko-Regelungen'!M23="Mindestfläche für Erweiterung unterschritten!"),"!","")</f>
        <v/>
      </c>
      <c r="O24" s="9"/>
      <c r="P24" s="7"/>
      <c r="Q24" s="7"/>
    </row>
    <row r="25" spans="1:17" ht="15.75" customHeight="1" thickBot="1" x14ac:dyDescent="0.3">
      <c r="B25" s="140"/>
      <c r="C25" s="26"/>
      <c r="D25" s="139"/>
      <c r="E25" s="77" t="str">
        <f>IF(AND(K23&lt;0.01,K23&lt;&gt;0),"0,1 ha unterschritten!","")</f>
        <v/>
      </c>
      <c r="F25" s="77" t="str">
        <f>IF(K23&gt;F24,"überschritten!","")</f>
        <v/>
      </c>
      <c r="G25" s="525">
        <f>HLOOKUP('Öko-Regelungen'!K12,Datengrundlage!AE14:AJ29,4)</f>
        <v>300</v>
      </c>
      <c r="H25" s="9" t="s">
        <v>686</v>
      </c>
      <c r="I25" s="475">
        <f>IF(K23-I23-I24&gt;0,MIN(K23-I23-I24,ROUND($D$10*6%,3)),0)</f>
        <v>0</v>
      </c>
      <c r="J25" s="131">
        <f>IF(AND(SUM(I23:I25)&gt;0.1,J24&lt;&gt;"Anwendung Stufe 1"),I25*G25,IF(AND(SUM(I23:I25)&lt;1.001,K23&gt;0,D10&gt;10,D10&lt;100),"Anwendung Stufe 1",IF(J24="Anwendung Stufe 1","Anwendung Stufe 1",0)))</f>
        <v>0</v>
      </c>
      <c r="K25" s="703"/>
      <c r="L25" s="698"/>
      <c r="M25" s="692"/>
      <c r="N25" s="7"/>
      <c r="O25" s="526"/>
      <c r="P25" s="7"/>
      <c r="Q25" s="7"/>
    </row>
    <row r="26" spans="1:17" ht="9" customHeight="1" x14ac:dyDescent="0.25">
      <c r="B26" s="151"/>
      <c r="C26" s="149"/>
      <c r="D26" s="152"/>
      <c r="E26" s="153"/>
      <c r="F26" s="153"/>
      <c r="G26" s="153"/>
      <c r="H26" s="153"/>
      <c r="I26" s="585"/>
      <c r="J26" s="153"/>
      <c r="K26" s="217"/>
      <c r="L26" s="204"/>
      <c r="M26" s="532" t="str">
        <f>IF(OR(AND(J23=1300,J24="Anwendung Stufe 1",J25="Anwendung Stufe 1"),M23="1-ha-Regelung angewendet"),"you should not see me","")</f>
        <v/>
      </c>
      <c r="N26" s="7"/>
      <c r="O26" s="7"/>
      <c r="P26" s="7"/>
      <c r="Q26" s="7"/>
    </row>
    <row r="27" spans="1:17" ht="21" customHeight="1" thickBot="1" x14ac:dyDescent="0.3">
      <c r="B27" s="140"/>
      <c r="C27" s="26"/>
      <c r="D27" s="139"/>
      <c r="E27" s="704" t="s">
        <v>68</v>
      </c>
      <c r="F27" s="704"/>
      <c r="G27" s="704"/>
      <c r="H27" s="704"/>
      <c r="I27" s="9"/>
      <c r="J27" s="9"/>
      <c r="K27" s="218"/>
      <c r="L27" s="205"/>
      <c r="M27" s="40"/>
      <c r="N27" s="7"/>
      <c r="O27" s="7"/>
      <c r="P27" s="7"/>
      <c r="Q27" s="7"/>
    </row>
    <row r="28" spans="1:17" ht="18" customHeight="1" x14ac:dyDescent="0.25">
      <c r="B28" s="686" t="s">
        <v>52</v>
      </c>
      <c r="C28" s="684" t="s">
        <v>63</v>
      </c>
      <c r="D28" s="685"/>
      <c r="E28" s="73" t="s">
        <v>72</v>
      </c>
      <c r="F28" s="73" t="s">
        <v>71</v>
      </c>
      <c r="G28" s="693">
        <f>HLOOKUP('Öko-Regelungen'!K12,Datengrundlage!AE14:AJ29,5)</f>
        <v>200</v>
      </c>
      <c r="H28" s="76"/>
      <c r="I28" s="76"/>
      <c r="J28" s="76"/>
      <c r="K28" s="702">
        <v>0</v>
      </c>
      <c r="L28" s="697">
        <f>IF(Basisprämie!C31="ja",0,K28*G28)</f>
        <v>0</v>
      </c>
      <c r="M28" s="692" t="str">
        <f>IF(K28&gt;F29,"Fläche von ÖR 1a zur Aufwertung überschritten!",IF(AND(K28&gt;0,K28&lt;E29),"Mindestfläche für Erweiterung unterschritten!",IF(Basisprämie!C31="ja","Öko-Regelung 1b kann nicht mit der Regelung von GAPAusnV § 3 kombiniert werden!","")))</f>
        <v/>
      </c>
      <c r="N28" s="7"/>
      <c r="O28" s="7"/>
      <c r="P28" s="7"/>
      <c r="Q28" s="7"/>
    </row>
    <row r="29" spans="1:17" ht="18" customHeight="1" thickBot="1" x14ac:dyDescent="0.3">
      <c r="B29" s="686"/>
      <c r="C29" s="684"/>
      <c r="D29" s="685"/>
      <c r="E29" s="474">
        <v>0.1</v>
      </c>
      <c r="F29" s="474">
        <f>K23</f>
        <v>0</v>
      </c>
      <c r="G29" s="693"/>
      <c r="H29" s="71"/>
      <c r="I29" s="76"/>
      <c r="J29" s="76"/>
      <c r="K29" s="703"/>
      <c r="L29" s="698"/>
      <c r="M29" s="692"/>
      <c r="N29" s="7"/>
      <c r="O29" s="7"/>
      <c r="P29" s="7"/>
      <c r="Q29" s="7"/>
    </row>
    <row r="30" spans="1:17" ht="9" customHeight="1" x14ac:dyDescent="0.25">
      <c r="B30" s="151"/>
      <c r="C30" s="149"/>
      <c r="D30" s="152"/>
      <c r="E30" s="153"/>
      <c r="F30" s="155"/>
      <c r="G30" s="155"/>
      <c r="H30" s="155"/>
      <c r="I30" s="155"/>
      <c r="J30" s="156"/>
      <c r="K30" s="219"/>
      <c r="L30" s="206"/>
      <c r="M30" s="157"/>
      <c r="N30" s="7"/>
      <c r="O30" s="7"/>
      <c r="P30" s="7"/>
      <c r="Q30" s="7"/>
    </row>
    <row r="31" spans="1:17" ht="21" customHeight="1" thickBot="1" x14ac:dyDescent="0.3">
      <c r="B31" s="140"/>
      <c r="C31" s="26"/>
      <c r="D31" s="139"/>
      <c r="E31" s="704" t="s">
        <v>68</v>
      </c>
      <c r="F31" s="704"/>
      <c r="G31" s="704"/>
      <c r="H31" s="704"/>
      <c r="I31" s="72"/>
      <c r="J31" s="73"/>
      <c r="K31" s="220"/>
      <c r="L31" s="207"/>
      <c r="M31" s="86"/>
      <c r="N31" s="7"/>
      <c r="O31" s="7"/>
      <c r="P31" s="7"/>
      <c r="Q31" s="7"/>
    </row>
    <row r="32" spans="1:17" ht="15.75" customHeight="1" x14ac:dyDescent="0.25">
      <c r="B32" s="686" t="s">
        <v>53</v>
      </c>
      <c r="C32" s="690" t="s">
        <v>54</v>
      </c>
      <c r="D32" s="691"/>
      <c r="E32" s="73" t="s">
        <v>66</v>
      </c>
      <c r="F32" s="73" t="s">
        <v>71</v>
      </c>
      <c r="G32" s="693">
        <f>HLOOKUP('Öko-Regelungen'!K12,Datengrundlage!AE14:AJ29,6)</f>
        <v>200</v>
      </c>
      <c r="H32" s="64"/>
      <c r="I32" s="64"/>
      <c r="J32" s="9"/>
      <c r="K32" s="695">
        <v>0</v>
      </c>
      <c r="L32" s="697">
        <f>K32*G32</f>
        <v>0</v>
      </c>
      <c r="M32" s="743" t="str">
        <f>IF(AND(K32&gt;0,K8=0),"Es wurde keine Fläche für Dauerkulturen hinterlegt!","")</f>
        <v/>
      </c>
      <c r="N32" s="7"/>
      <c r="O32" s="7"/>
      <c r="P32" s="7"/>
      <c r="Q32" s="7"/>
    </row>
    <row r="33" spans="2:17" ht="15.75" customHeight="1" thickBot="1" x14ac:dyDescent="0.3">
      <c r="B33" s="686"/>
      <c r="C33" s="690"/>
      <c r="D33" s="691"/>
      <c r="E33" s="78" t="s">
        <v>70</v>
      </c>
      <c r="F33" s="474">
        <f>K23</f>
        <v>0</v>
      </c>
      <c r="G33" s="693"/>
      <c r="H33" s="64"/>
      <c r="I33" s="230"/>
      <c r="J33" s="229"/>
      <c r="K33" s="696"/>
      <c r="L33" s="698"/>
      <c r="M33" s="743"/>
      <c r="N33" s="7"/>
      <c r="O33" s="7"/>
      <c r="P33" s="7"/>
      <c r="Q33" s="7"/>
    </row>
    <row r="34" spans="2:17" ht="9" customHeight="1" x14ac:dyDescent="0.25">
      <c r="B34" s="158"/>
      <c r="C34" s="159"/>
      <c r="D34" s="160"/>
      <c r="E34" s="161"/>
      <c r="F34" s="154"/>
      <c r="G34" s="162"/>
      <c r="H34" s="163"/>
      <c r="I34" s="259"/>
      <c r="J34" s="153"/>
      <c r="K34" s="221"/>
      <c r="L34" s="208"/>
      <c r="M34" s="164"/>
      <c r="N34" s="7"/>
      <c r="O34" s="7"/>
      <c r="P34" s="7"/>
      <c r="Q34" s="7"/>
    </row>
    <row r="35" spans="2:17" ht="9" customHeight="1" x14ac:dyDescent="0.25">
      <c r="B35" s="231"/>
      <c r="C35" s="235"/>
      <c r="D35" s="236"/>
      <c r="E35" s="78"/>
      <c r="F35" s="234"/>
      <c r="G35" s="232"/>
      <c r="H35" s="64"/>
      <c r="I35" s="736" t="s">
        <v>211</v>
      </c>
      <c r="J35" s="9"/>
      <c r="K35" s="257"/>
      <c r="L35" s="258"/>
      <c r="M35" s="134"/>
      <c r="N35" s="7"/>
      <c r="O35" s="7"/>
      <c r="P35" s="7"/>
      <c r="Q35" s="7"/>
    </row>
    <row r="36" spans="2:17" ht="15.75" customHeight="1" x14ac:dyDescent="0.25">
      <c r="B36" s="231"/>
      <c r="C36" s="235"/>
      <c r="D36" s="236"/>
      <c r="E36" s="78"/>
      <c r="F36" s="234"/>
      <c r="G36" s="232"/>
      <c r="H36" s="64"/>
      <c r="I36" s="736"/>
      <c r="J36" s="737" t="s">
        <v>201</v>
      </c>
      <c r="K36" s="257"/>
      <c r="L36" s="258"/>
      <c r="M36" s="733" t="str">
        <f>IF(D12&gt;=1,"Hinweis: Auf dem ersten ha Grünland können für den Fördersatz des ersten Prozents Altgrasstreifen angelegt werde..","")</f>
        <v/>
      </c>
      <c r="N36" s="7"/>
      <c r="O36" s="7"/>
      <c r="P36" s="7"/>
      <c r="Q36" s="7"/>
    </row>
    <row r="37" spans="2:17" ht="27" customHeight="1" thickBot="1" x14ac:dyDescent="0.3">
      <c r="B37" s="140"/>
      <c r="C37" s="26"/>
      <c r="D37" s="137"/>
      <c r="E37" s="704" t="s">
        <v>68</v>
      </c>
      <c r="F37" s="704"/>
      <c r="G37" s="704"/>
      <c r="H37" s="704"/>
      <c r="I37" s="736"/>
      <c r="J37" s="737"/>
      <c r="K37" s="218"/>
      <c r="L37" s="209"/>
      <c r="M37" s="733"/>
      <c r="N37" s="7"/>
      <c r="O37" s="7"/>
      <c r="P37" s="7"/>
      <c r="Q37" s="7"/>
    </row>
    <row r="38" spans="2:17" ht="15.75" customHeight="1" x14ac:dyDescent="0.25">
      <c r="B38" s="686" t="s">
        <v>56</v>
      </c>
      <c r="C38" s="682" t="s">
        <v>57</v>
      </c>
      <c r="D38" s="683"/>
      <c r="E38" s="73" t="s">
        <v>73</v>
      </c>
      <c r="F38" s="73" t="s">
        <v>74</v>
      </c>
      <c r="G38" s="525">
        <f>HLOOKUP('Öko-Regelungen'!K12,Datengrundlage!AE14:AJ29,7)</f>
        <v>1000</v>
      </c>
      <c r="H38" s="9" t="s">
        <v>660</v>
      </c>
      <c r="I38" s="475">
        <f>IF(AND(K38&gt;=E39,K38&gt;=1),1,MIN(K38,ROUND($D$12*1%,3)))</f>
        <v>0</v>
      </c>
      <c r="J38" s="131" cm="1">
        <f t="array" ref="J38">IF(AND(K38&lt;E39,K38&lt;&gt;1),0,IF(AND(K38&gt;=E39,K38&lt;&gt;1,SUM(I38:I40&gt;=1)),I38*G38,IF(AND(K38&gt;=E39,K38&gt;=1),900,IF(K38=1,900,IF(AND(K38&gt;=E39,K38&gt;1),I38*G38,IF(AND(K38&lt;1,SUM(I38:I40)&lt;1),G38*K38,0))))))</f>
        <v>0</v>
      </c>
      <c r="K38" s="695">
        <v>0</v>
      </c>
      <c r="L38" s="697">
        <f>SUM(J38:J40)</f>
        <v>0</v>
      </c>
      <c r="M38" s="692" t="b">
        <f>IF(AND(K38&gt;F39,K38&gt;1),"Fläche von 6 % oder 1-ha Regelung überschritten!",IF(AND(K38&gt;F39,K38&lt;1),"6 % Grünlandfläche überschritten, aber 1 ha-Regelung angewendet",IF(AND(K38&gt;0,K38&lt;0.1),"Mindestfläche von 0,1 ha nicht erreicht",IF(AND(K38&gt;F39,K38=1),"6 % Grünlandfläche überschritten, aber 1 ha-Regelung angewendet",IF(AND(K38&lt;E39,K38=1),"1 % Mindestfläche unterschritten, aber 1 ha-Regelung angewendet",IF(AND(K38&gt;0,D12&lt;=0),"Keine Grünlandfläche im Blatt Basisprämie eingetragen",IF(AND(K38&gt;=1,J38=900),"1-ha-Regelung angewendet",IF(AND(D12&lt;=10,K38=1,J38=0),IF(AND(K38&gt;F39,K38&lt;1),"1 % Mindestfläche unterschritten, aber 1 ha-Regelung angewendet",IF(K38=0,"",""))))))))))</f>
        <v>0</v>
      </c>
      <c r="N38" s="7"/>
      <c r="O38" s="7"/>
      <c r="Q38" s="7"/>
    </row>
    <row r="39" spans="2:17" ht="16.5" customHeight="1" x14ac:dyDescent="0.25">
      <c r="B39" s="686"/>
      <c r="C39" s="682"/>
      <c r="D39" s="683"/>
      <c r="E39" s="518">
        <f>D12*0.01</f>
        <v>0</v>
      </c>
      <c r="F39" s="476">
        <f>D12*0.06</f>
        <v>0</v>
      </c>
      <c r="G39" s="525">
        <f>HLOOKUP('Öko-Regelungen'!K12,Datengrundlage!AE14:AJ29,8)</f>
        <v>450</v>
      </c>
      <c r="H39" s="9" t="s">
        <v>517</v>
      </c>
      <c r="I39" s="475">
        <f>IF(AND(K38-I38&gt;0,I38&lt;=E39),MIN(K38-I38,ROUND($D$12*2%,3)),IF(AND(K38-I38&gt;0,I38&gt;E39,I38&lt;(D12*0.02)),MIN(K38-I38,ROUND($D$12*2%,3)-(1-E39)),IF(AND(K38-I38&gt;0,I38&gt;E39,I38&gt;(D12*0.02)),0,0)))</f>
        <v>0</v>
      </c>
      <c r="J39" s="131">
        <f>IF(AND(SUM(I38:I40)&gt;0.01,F40=""),I39*G39,IF(AND(K23&gt;0,SUM(I38:I40)&lt;1.001),"Anwendung Stufe 1",IF(AND(K23&gt;0,F40&lt;&gt;""),"Anwendung Stufe 1",0)))</f>
        <v>0</v>
      </c>
      <c r="K39" s="738"/>
      <c r="L39" s="739"/>
      <c r="M39" s="692"/>
      <c r="N39" s="7"/>
      <c r="O39" s="7"/>
      <c r="Q39" s="7"/>
    </row>
    <row r="40" spans="2:17" ht="16.5" customHeight="1" thickBot="1" x14ac:dyDescent="0.3">
      <c r="B40" s="141"/>
      <c r="C40" s="112"/>
      <c r="D40" s="142"/>
      <c r="E40" s="77" t="str">
        <f>IF(AND(K38&lt;E39,K38&lt;&gt;0),"unterschritten!","")</f>
        <v/>
      </c>
      <c r="F40" s="77" t="str">
        <f>IF(K38&gt;F39,"überschritten!","")</f>
        <v/>
      </c>
      <c r="G40" s="525">
        <f>HLOOKUP('Öko-Regelungen'!K12,Datengrundlage!AE14:AJ29,9)</f>
        <v>200</v>
      </c>
      <c r="H40" s="9" t="s">
        <v>518</v>
      </c>
      <c r="I40" s="475">
        <f>IF(K38-I38-I39&gt;0,MIN(K38-I38-I39,ROUND($D$12*3%,3)),0)</f>
        <v>0</v>
      </c>
      <c r="J40" s="131">
        <f>IF(AND(SUM(I38:I40)&gt;0.1,J39&lt;&gt;"Anwendung Stufe 1"),I40*G40,IF(AND(SUM(I38:I40)&lt;1.001,K23&gt;0),"Anwendung Stufe 1",IF(J24="Anwendung Stufe 1","Anwendung Stufe 1",0)))</f>
        <v>0</v>
      </c>
      <c r="K40" s="696"/>
      <c r="L40" s="698"/>
      <c r="M40" s="692"/>
      <c r="N40" s="7"/>
      <c r="O40" s="7"/>
      <c r="Q40" s="7"/>
    </row>
    <row r="41" spans="2:17" ht="9" customHeight="1" x14ac:dyDescent="0.25">
      <c r="B41" s="151"/>
      <c r="C41" s="149"/>
      <c r="D41" s="165"/>
      <c r="E41" s="153"/>
      <c r="F41" s="163"/>
      <c r="G41" s="163"/>
      <c r="H41" s="163"/>
      <c r="I41" s="163"/>
      <c r="J41" s="153"/>
      <c r="K41" s="217"/>
      <c r="L41" s="210"/>
      <c r="M41" s="166"/>
      <c r="N41" s="7"/>
      <c r="O41" s="7"/>
      <c r="P41" s="7"/>
      <c r="Q41" s="7"/>
    </row>
    <row r="42" spans="2:17" ht="15" x14ac:dyDescent="0.25">
      <c r="B42" s="140"/>
      <c r="C42" s="26"/>
      <c r="D42" s="143"/>
      <c r="E42" s="730" t="s">
        <v>216</v>
      </c>
      <c r="F42" s="731"/>
      <c r="G42" s="731"/>
      <c r="H42" s="731"/>
      <c r="I42" s="731"/>
      <c r="J42" s="731"/>
      <c r="K42" s="263"/>
      <c r="L42" s="264"/>
      <c r="M42" s="87"/>
      <c r="N42" s="7"/>
      <c r="O42" s="7"/>
      <c r="P42" s="7"/>
      <c r="Q42" s="7"/>
    </row>
    <row r="43" spans="2:17" ht="7.5" customHeight="1" thickBot="1" x14ac:dyDescent="0.3">
      <c r="B43" s="140"/>
      <c r="C43" s="26"/>
      <c r="D43" s="143"/>
      <c r="E43" s="233"/>
      <c r="F43" s="233"/>
      <c r="G43" s="233"/>
      <c r="H43" s="233"/>
      <c r="I43" s="233"/>
      <c r="J43" s="233"/>
      <c r="K43" s="223"/>
      <c r="L43" s="212"/>
      <c r="M43" s="87"/>
      <c r="N43" s="7"/>
      <c r="O43" s="7"/>
      <c r="P43" s="7"/>
      <c r="Q43" s="7"/>
    </row>
    <row r="44" spans="2:17" ht="15.75" customHeight="1" thickBot="1" x14ac:dyDescent="0.3">
      <c r="B44" s="686">
        <v>2</v>
      </c>
      <c r="C44" s="690" t="s">
        <v>58</v>
      </c>
      <c r="D44" s="691"/>
      <c r="E44" s="73" t="s">
        <v>212</v>
      </c>
      <c r="F44" s="704" t="s">
        <v>662</v>
      </c>
      <c r="G44" s="704"/>
      <c r="H44" s="732" t="s">
        <v>217</v>
      </c>
      <c r="I44" s="732"/>
      <c r="J44" s="9"/>
      <c r="K44" s="728">
        <f>IF(I45="ja",E45-F45,0)</f>
        <v>0</v>
      </c>
      <c r="L44" s="697">
        <f>K44*J45</f>
        <v>0</v>
      </c>
      <c r="M44" s="261"/>
      <c r="N44" s="7"/>
      <c r="O44" s="7"/>
      <c r="P44" s="7"/>
      <c r="Q44" s="7"/>
    </row>
    <row r="45" spans="2:17" ht="15.75" customHeight="1" thickBot="1" x14ac:dyDescent="0.3">
      <c r="B45" s="686"/>
      <c r="C45" s="690"/>
      <c r="D45" s="691"/>
      <c r="E45" s="474">
        <f>D10</f>
        <v>0</v>
      </c>
      <c r="F45" s="701">
        <f>K10+K23</f>
        <v>0</v>
      </c>
      <c r="G45" s="701"/>
      <c r="H45" s="265"/>
      <c r="I45" s="266" t="s">
        <v>99</v>
      </c>
      <c r="J45" s="525">
        <f>HLOOKUP('Öko-Regelungen'!K12,Datengrundlage!AE14:AJ29,10)</f>
        <v>60</v>
      </c>
      <c r="K45" s="729"/>
      <c r="L45" s="698"/>
      <c r="M45" s="261"/>
      <c r="N45" s="7"/>
      <c r="O45" s="7"/>
      <c r="P45" s="7"/>
      <c r="Q45" s="7"/>
    </row>
    <row r="46" spans="2:17" ht="12.75" customHeight="1" x14ac:dyDescent="0.25">
      <c r="B46" s="158"/>
      <c r="C46" s="159"/>
      <c r="D46" s="160"/>
      <c r="E46" s="713" t="str">
        <f>IF(Basisprämie!C33&gt;0,"Stilllegung mit Zwischenfrüchten von Brachfläche abgezogen","")</f>
        <v/>
      </c>
      <c r="F46" s="714"/>
      <c r="G46" s="714"/>
      <c r="H46" s="714"/>
      <c r="I46" s="163"/>
      <c r="J46" s="153"/>
      <c r="K46" s="222"/>
      <c r="L46" s="211"/>
      <c r="M46" s="262"/>
      <c r="N46" s="7"/>
      <c r="O46" s="7"/>
      <c r="P46" s="7"/>
      <c r="Q46" s="7"/>
    </row>
    <row r="47" spans="2:17" ht="15.6" thickBot="1" x14ac:dyDescent="0.3">
      <c r="B47" s="144"/>
      <c r="C47" s="26"/>
      <c r="D47" s="139"/>
      <c r="E47" s="704" t="s">
        <v>75</v>
      </c>
      <c r="F47" s="704"/>
      <c r="G47" s="704"/>
      <c r="H47" s="9"/>
      <c r="I47" s="64"/>
      <c r="J47" s="9"/>
      <c r="K47" s="223"/>
      <c r="L47" s="212"/>
      <c r="M47" s="87"/>
      <c r="N47" s="7"/>
      <c r="O47" s="7"/>
      <c r="P47" s="7"/>
      <c r="Q47" s="7"/>
    </row>
    <row r="48" spans="2:17" ht="15" customHeight="1" x14ac:dyDescent="0.25">
      <c r="B48" s="686">
        <v>3</v>
      </c>
      <c r="C48" s="687" t="s">
        <v>59</v>
      </c>
      <c r="D48" s="688"/>
      <c r="E48" s="715">
        <f>HLOOKUP('Öko-Regelungen'!K12,Datengrundlage!AE14:AJ29,11)</f>
        <v>600</v>
      </c>
      <c r="F48" s="716" t="s">
        <v>76</v>
      </c>
      <c r="G48" s="716"/>
      <c r="H48" s="26"/>
      <c r="I48" s="64"/>
      <c r="J48" s="9"/>
      <c r="K48" s="695">
        <v>0</v>
      </c>
      <c r="L48" s="697">
        <f>K48*E48</f>
        <v>0</v>
      </c>
      <c r="M48" s="87"/>
      <c r="N48" s="7"/>
      <c r="O48" s="7"/>
      <c r="P48" s="7"/>
      <c r="Q48" s="7"/>
    </row>
    <row r="49" spans="2:17" ht="15.75" customHeight="1" thickBot="1" x14ac:dyDescent="0.3">
      <c r="B49" s="686"/>
      <c r="C49" s="687"/>
      <c r="D49" s="688"/>
      <c r="E49" s="715"/>
      <c r="F49" s="716"/>
      <c r="G49" s="716"/>
      <c r="H49" s="64"/>
      <c r="I49" s="64"/>
      <c r="J49" s="9"/>
      <c r="K49" s="696"/>
      <c r="L49" s="698"/>
      <c r="M49" s="87"/>
      <c r="N49" s="7"/>
      <c r="O49" s="7"/>
      <c r="P49" s="7"/>
      <c r="Q49" s="7"/>
    </row>
    <row r="50" spans="2:17" ht="9" customHeight="1" x14ac:dyDescent="0.25">
      <c r="B50" s="158"/>
      <c r="C50" s="167"/>
      <c r="D50" s="168"/>
      <c r="E50" s="169"/>
      <c r="F50" s="169"/>
      <c r="G50" s="169"/>
      <c r="H50" s="163"/>
      <c r="I50" s="163"/>
      <c r="J50" s="153"/>
      <c r="K50" s="222"/>
      <c r="L50" s="211"/>
      <c r="M50" s="166"/>
      <c r="N50" s="7"/>
      <c r="O50" s="7"/>
      <c r="P50" s="7"/>
      <c r="Q50" s="7"/>
    </row>
    <row r="51" spans="2:17" ht="15.6" thickBot="1" x14ac:dyDescent="0.3">
      <c r="B51" s="144"/>
      <c r="C51" s="26"/>
      <c r="D51" s="143"/>
      <c r="E51" s="704" t="s">
        <v>77</v>
      </c>
      <c r="F51" s="704"/>
      <c r="G51" s="704"/>
      <c r="H51" s="704"/>
      <c r="I51" s="64"/>
      <c r="J51" s="9"/>
      <c r="K51" s="223"/>
      <c r="L51" s="212"/>
      <c r="M51" s="87"/>
      <c r="N51" s="7"/>
      <c r="O51" s="7"/>
      <c r="P51" s="7"/>
      <c r="Q51" s="7"/>
    </row>
    <row r="52" spans="2:17" ht="15" customHeight="1" thickBot="1" x14ac:dyDescent="0.3">
      <c r="B52" s="686">
        <v>4</v>
      </c>
      <c r="C52" s="687" t="s">
        <v>60</v>
      </c>
      <c r="D52" s="688"/>
      <c r="E52" s="73" t="s">
        <v>78</v>
      </c>
      <c r="F52" t="s">
        <v>482</v>
      </c>
      <c r="G52" s="705" t="s">
        <v>220</v>
      </c>
      <c r="H52" s="705"/>
      <c r="I52" s="712">
        <f>HLOOKUP('Öko-Regelungen'!K12,Datengrundlage!AE14:AJ29,12)</f>
        <v>100</v>
      </c>
      <c r="J52" s="711" t="s">
        <v>85</v>
      </c>
      <c r="K52" s="709">
        <f>IF(AND(H53="ja",M52=""),E53,0)</f>
        <v>0</v>
      </c>
      <c r="L52" s="697">
        <f>I52*K52</f>
        <v>0</v>
      </c>
      <c r="M52" s="708" t="str">
        <f>IF(AND(H53="ja",F53&lt;0.3),"Mindest-RGV von 0,3 /ha nicht erreicht!",IF(AND(H53="ja",F53&gt;=1.401),"Höchst-RGV von 1,4 /ha überschritten!",""))</f>
        <v/>
      </c>
      <c r="N52" s="7"/>
      <c r="O52" s="7"/>
      <c r="P52" s="7"/>
      <c r="Q52" s="7"/>
    </row>
    <row r="53" spans="2:17" ht="15.75" customHeight="1" thickBot="1" x14ac:dyDescent="0.3">
      <c r="B53" s="686"/>
      <c r="C53" s="687"/>
      <c r="D53" s="688"/>
      <c r="E53" s="474">
        <f>D12</f>
        <v>0</v>
      </c>
      <c r="F53" s="462">
        <f>Basisprämie!K30</f>
        <v>0</v>
      </c>
      <c r="H53" s="267" t="s">
        <v>99</v>
      </c>
      <c r="I53" s="712"/>
      <c r="J53" s="711"/>
      <c r="K53" s="710"/>
      <c r="L53" s="698"/>
      <c r="M53" s="708"/>
      <c r="N53" s="7"/>
      <c r="O53" s="7"/>
      <c r="P53" s="7"/>
      <c r="Q53" s="7"/>
    </row>
    <row r="54" spans="2:17" ht="15.75" customHeight="1" x14ac:dyDescent="0.25">
      <c r="B54" s="141"/>
      <c r="C54" s="109"/>
      <c r="D54" s="145"/>
      <c r="E54" s="81" t="str">
        <f>IF(AND(K52&lt;E53,K52&lt;&gt;0),"unterschritten!","")</f>
        <v/>
      </c>
      <c r="F54" s="463" t="str">
        <f>IF(F53&lt;=0.3,"0,3 RGV / ha nötig",IF(F53&gt;=1.4,"1,4 RGV / ha überschritten",""))</f>
        <v>0,3 RGV / ha nötig</v>
      </c>
      <c r="G54" s="79"/>
      <c r="H54" s="79"/>
      <c r="I54" s="64"/>
      <c r="J54" s="9"/>
      <c r="K54" s="224"/>
      <c r="L54" s="213"/>
      <c r="M54" s="87"/>
      <c r="N54" s="7"/>
      <c r="O54" s="7"/>
      <c r="P54" s="7"/>
      <c r="Q54" s="7"/>
    </row>
    <row r="55" spans="2:17" ht="9" customHeight="1" x14ac:dyDescent="0.25">
      <c r="B55" s="158"/>
      <c r="C55" s="167"/>
      <c r="D55" s="168"/>
      <c r="E55" s="170"/>
      <c r="F55" s="171"/>
      <c r="G55" s="162"/>
      <c r="H55" s="162"/>
      <c r="I55" s="163"/>
      <c r="J55" s="153"/>
      <c r="K55" s="225"/>
      <c r="L55" s="208"/>
      <c r="M55" s="166"/>
      <c r="N55" s="7"/>
      <c r="O55" s="7"/>
      <c r="P55" s="7"/>
      <c r="Q55" s="7"/>
    </row>
    <row r="56" spans="2:17" ht="15.6" thickBot="1" x14ac:dyDescent="0.3">
      <c r="B56" s="144"/>
      <c r="C56" s="26"/>
      <c r="D56" s="143"/>
      <c r="E56" s="704" t="s">
        <v>79</v>
      </c>
      <c r="F56" s="704"/>
      <c r="G56" s="704"/>
      <c r="H56" s="64"/>
      <c r="I56" s="64"/>
      <c r="J56" s="9"/>
      <c r="K56" s="223"/>
      <c r="L56" s="212"/>
      <c r="M56" s="87"/>
      <c r="N56" s="7"/>
      <c r="O56" s="7"/>
      <c r="P56" s="7"/>
      <c r="Q56" s="7"/>
    </row>
    <row r="57" spans="2:17" ht="15" customHeight="1" x14ac:dyDescent="0.25">
      <c r="B57" s="689">
        <v>5</v>
      </c>
      <c r="C57" s="687" t="s">
        <v>61</v>
      </c>
      <c r="D57" s="688"/>
      <c r="E57" s="73" t="s">
        <v>80</v>
      </c>
      <c r="F57" s="693">
        <f>HLOOKUP('Öko-Regelungen'!K12,Datengrundlage!AE14:AJ29,13)</f>
        <v>210</v>
      </c>
      <c r="G57" s="706" t="s">
        <v>85</v>
      </c>
      <c r="H57" s="706"/>
      <c r="I57" s="64"/>
      <c r="J57" s="9"/>
      <c r="K57" s="695">
        <v>0</v>
      </c>
      <c r="L57" s="697">
        <f>F57*K57</f>
        <v>0</v>
      </c>
      <c r="M57" s="692" t="str">
        <f>IF(K57&gt;E58,"Fläche in ÖR 5 überschreitet gesamte DGL-Fläche!","")</f>
        <v/>
      </c>
      <c r="N57" s="7"/>
      <c r="O57" s="7"/>
      <c r="P57" s="7"/>
      <c r="Q57" s="7"/>
    </row>
    <row r="58" spans="2:17" ht="15.6" thickBot="1" x14ac:dyDescent="0.3">
      <c r="B58" s="689"/>
      <c r="C58" s="687"/>
      <c r="D58" s="688"/>
      <c r="E58" s="474">
        <f>D12</f>
        <v>0</v>
      </c>
      <c r="F58" s="693"/>
      <c r="G58" s="706"/>
      <c r="H58" s="706"/>
      <c r="I58" s="64"/>
      <c r="J58" s="9"/>
      <c r="K58" s="696"/>
      <c r="L58" s="698"/>
      <c r="M58" s="692"/>
      <c r="N58" s="7"/>
      <c r="O58" s="7"/>
      <c r="P58" s="7"/>
      <c r="Q58" s="7"/>
    </row>
    <row r="59" spans="2:17" ht="15.6" x14ac:dyDescent="0.25">
      <c r="B59" s="146"/>
      <c r="C59" s="109"/>
      <c r="D59" s="145"/>
      <c r="E59" s="81" t="str">
        <f>IF(K57&gt;E58,"überschritten!","")</f>
        <v/>
      </c>
      <c r="F59" s="80"/>
      <c r="G59" s="64"/>
      <c r="H59" s="64"/>
      <c r="I59" s="64"/>
      <c r="J59" s="9"/>
      <c r="K59" s="224"/>
      <c r="L59" s="213"/>
      <c r="M59" s="87"/>
      <c r="N59" s="7"/>
      <c r="O59" s="7"/>
      <c r="P59" s="7"/>
      <c r="Q59" s="7"/>
    </row>
    <row r="60" spans="2:17" ht="9" customHeight="1" x14ac:dyDescent="0.25">
      <c r="B60" s="172"/>
      <c r="C60" s="167"/>
      <c r="D60" s="168"/>
      <c r="E60" s="170"/>
      <c r="F60" s="171"/>
      <c r="G60" s="163"/>
      <c r="H60" s="163"/>
      <c r="I60" s="163"/>
      <c r="J60" s="153"/>
      <c r="K60" s="225"/>
      <c r="L60" s="208"/>
      <c r="M60" s="166"/>
      <c r="N60" s="7"/>
      <c r="O60" s="7"/>
      <c r="P60" s="7"/>
      <c r="Q60" s="7"/>
    </row>
    <row r="61" spans="2:17" ht="15.6" thickBot="1" x14ac:dyDescent="0.3">
      <c r="B61" s="144"/>
      <c r="C61" s="26"/>
      <c r="D61" s="139"/>
      <c r="E61" s="704" t="s">
        <v>79</v>
      </c>
      <c r="F61" s="704"/>
      <c r="G61" s="704"/>
      <c r="H61" s="704"/>
      <c r="I61" s="64"/>
      <c r="J61" s="9"/>
      <c r="K61" s="223"/>
      <c r="L61" s="212"/>
      <c r="M61" s="87"/>
      <c r="N61" s="7"/>
      <c r="O61" s="7"/>
      <c r="P61" s="7"/>
      <c r="Q61" s="7"/>
    </row>
    <row r="62" spans="2:17" ht="15" customHeight="1" x14ac:dyDescent="0.25">
      <c r="B62" s="686">
        <v>6</v>
      </c>
      <c r="C62" s="687" t="s">
        <v>508</v>
      </c>
      <c r="D62" s="688"/>
      <c r="E62" s="73" t="s">
        <v>81</v>
      </c>
      <c r="F62" s="79" t="s">
        <v>82</v>
      </c>
      <c r="G62" s="693">
        <f>HLOOKUP('Öko-Regelungen'!K12,Datengrundlage!AE14:AJ29,14)</f>
        <v>150</v>
      </c>
      <c r="H62" s="727" t="s">
        <v>85</v>
      </c>
      <c r="I62" s="700" t="s">
        <v>83</v>
      </c>
      <c r="J62" s="700"/>
      <c r="K62" s="695">
        <v>0</v>
      </c>
      <c r="L62" s="697">
        <f>G62*K62</f>
        <v>0</v>
      </c>
      <c r="M62" s="707" t="str">
        <f>IF(AND(K6="ökologisch",SUM(K62:K65)&gt;0),"Bitte beachten: Auf HALM B.1-Flächen wird die ÖR 6-Förderung abgezogen","")</f>
        <v/>
      </c>
      <c r="N62" s="7"/>
      <c r="O62" s="7"/>
      <c r="P62" s="7"/>
      <c r="Q62" s="7"/>
    </row>
    <row r="63" spans="2:17" ht="15.75" customHeight="1" thickBot="1" x14ac:dyDescent="0.3">
      <c r="B63" s="686"/>
      <c r="C63" s="687"/>
      <c r="D63" s="688"/>
      <c r="E63" s="701">
        <f>D10</f>
        <v>0</v>
      </c>
      <c r="F63" s="726">
        <f>K8</f>
        <v>0</v>
      </c>
      <c r="G63" s="693"/>
      <c r="H63" s="727"/>
      <c r="I63" s="700"/>
      <c r="J63" s="700"/>
      <c r="K63" s="696"/>
      <c r="L63" s="698"/>
      <c r="M63" s="707"/>
      <c r="N63" s="7"/>
      <c r="O63" s="7"/>
      <c r="P63" s="7"/>
      <c r="Q63" s="7"/>
    </row>
    <row r="64" spans="2:17" ht="15" customHeight="1" x14ac:dyDescent="0.25">
      <c r="B64" s="686"/>
      <c r="C64" s="687"/>
      <c r="D64" s="688"/>
      <c r="E64" s="701"/>
      <c r="F64" s="726"/>
      <c r="G64" s="693">
        <f>HLOOKUP('Öko-Regelungen'!K12,Datengrundlage!AE15:AJ30,14)</f>
        <v>50</v>
      </c>
      <c r="H64" s="694"/>
      <c r="I64" s="700" t="s">
        <v>84</v>
      </c>
      <c r="J64" s="700"/>
      <c r="K64" s="695">
        <v>0</v>
      </c>
      <c r="L64" s="697">
        <f>G64*K64</f>
        <v>0</v>
      </c>
      <c r="M64" s="692" t="str">
        <f>IF(SUM(K62:K65)&gt;SUM(E63:F64),"Mögliche Fläche für ÖR 6 überschritten!",IF(AND(SUM(K62:K65)&gt;=(D10-K10),SUM(K62:K65)&gt;0),"Bei Beantragung der gesamten AF, werden die Brachen nicht gefördert",""))</f>
        <v/>
      </c>
      <c r="N64" s="7"/>
      <c r="O64" s="7"/>
      <c r="P64" s="7"/>
      <c r="Q64" s="7"/>
    </row>
    <row r="65" spans="2:17" ht="14.4" thickBot="1" x14ac:dyDescent="0.3">
      <c r="B65" s="141"/>
      <c r="C65" s="109"/>
      <c r="D65" s="145"/>
      <c r="E65" s="699" t="str">
        <f>IF((K62+K64)&gt;(E63+F63),"überschritten!","")</f>
        <v/>
      </c>
      <c r="F65" s="699"/>
      <c r="G65" s="693"/>
      <c r="H65" s="694"/>
      <c r="I65" s="700"/>
      <c r="J65" s="700"/>
      <c r="K65" s="696"/>
      <c r="L65" s="698"/>
      <c r="M65" s="692"/>
      <c r="N65" s="7"/>
      <c r="O65" s="7"/>
      <c r="P65" s="7"/>
      <c r="Q65" s="7"/>
    </row>
    <row r="66" spans="2:17" ht="9" customHeight="1" x14ac:dyDescent="0.25">
      <c r="B66" s="173"/>
      <c r="C66" s="149"/>
      <c r="D66" s="174"/>
      <c r="E66" s="725"/>
      <c r="F66" s="725"/>
      <c r="G66" s="163"/>
      <c r="H66" s="163"/>
      <c r="I66" s="163"/>
      <c r="J66" s="153"/>
      <c r="K66" s="226"/>
      <c r="L66" s="214"/>
      <c r="M66" s="166"/>
      <c r="N66" s="7"/>
      <c r="O66" s="7"/>
      <c r="P66" s="7"/>
      <c r="Q66" s="7"/>
    </row>
    <row r="67" spans="2:17" ht="15.6" thickBot="1" x14ac:dyDescent="0.3">
      <c r="B67" s="144"/>
      <c r="C67" s="26"/>
      <c r="D67" s="147"/>
      <c r="E67" s="704" t="s">
        <v>79</v>
      </c>
      <c r="F67" s="704"/>
      <c r="G67" s="704"/>
      <c r="H67" s="64"/>
      <c r="I67" s="64"/>
      <c r="J67" s="9"/>
      <c r="K67" s="223"/>
      <c r="L67" s="212"/>
      <c r="M67" s="87"/>
      <c r="N67" s="7"/>
      <c r="O67" s="7"/>
      <c r="P67" s="7"/>
      <c r="Q67" s="7"/>
    </row>
    <row r="68" spans="2:17" ht="15" x14ac:dyDescent="0.25">
      <c r="B68" s="686">
        <v>7</v>
      </c>
      <c r="C68" s="687" t="s">
        <v>505</v>
      </c>
      <c r="D68" s="688"/>
      <c r="E68" s="73" t="s">
        <v>86</v>
      </c>
      <c r="F68" s="693">
        <f>HLOOKUP(K12,Datengrundlage!AG14:AJ29,16,FALSE)</f>
        <v>40</v>
      </c>
      <c r="G68" s="694" t="s">
        <v>87</v>
      </c>
      <c r="H68" s="694"/>
      <c r="I68" s="64"/>
      <c r="J68" s="9"/>
      <c r="K68" s="695">
        <v>0</v>
      </c>
      <c r="L68" s="697">
        <f>K68*F68</f>
        <v>0</v>
      </c>
      <c r="M68" s="692" t="str">
        <f>IF(K68&gt;E69,"Mögliche Fläche für ÖR 7 überschritten!","")</f>
        <v/>
      </c>
      <c r="N68" s="7"/>
      <c r="O68" s="7"/>
      <c r="P68" s="7"/>
      <c r="Q68" s="7"/>
    </row>
    <row r="69" spans="2:17" ht="15.6" thickBot="1" x14ac:dyDescent="0.3">
      <c r="B69" s="686"/>
      <c r="C69" s="687"/>
      <c r="D69" s="688"/>
      <c r="E69" s="474">
        <f>D8</f>
        <v>0</v>
      </c>
      <c r="F69" s="693"/>
      <c r="G69" s="694"/>
      <c r="H69" s="694"/>
      <c r="I69" s="64"/>
      <c r="J69" s="9"/>
      <c r="K69" s="696"/>
      <c r="L69" s="698"/>
      <c r="M69" s="692"/>
      <c r="N69" s="7"/>
      <c r="O69" s="7"/>
      <c r="P69" s="7"/>
      <c r="Q69" s="7"/>
    </row>
    <row r="70" spans="2:17" ht="9" customHeight="1" x14ac:dyDescent="0.25">
      <c r="B70" s="148"/>
      <c r="C70" s="149"/>
      <c r="D70" s="150"/>
      <c r="E70" s="81" t="str">
        <f>IF(K68&gt;E69,"überschritten!","")</f>
        <v/>
      </c>
      <c r="F70" s="82"/>
      <c r="G70" s="82"/>
      <c r="H70" s="75"/>
      <c r="I70" s="75"/>
      <c r="J70" s="9"/>
      <c r="K70" s="215"/>
      <c r="L70" s="216"/>
      <c r="M70" s="198"/>
      <c r="N70" s="7"/>
      <c r="O70" s="7"/>
      <c r="P70" s="7"/>
      <c r="Q70" s="7"/>
    </row>
    <row r="71" spans="2:17" ht="4.5" customHeight="1" x14ac:dyDescent="0.25">
      <c r="B71" s="91"/>
      <c r="C71" s="92"/>
      <c r="D71" s="93"/>
      <c r="E71" s="94"/>
      <c r="F71" s="95"/>
      <c r="G71" s="95"/>
      <c r="H71" s="96"/>
      <c r="I71" s="96"/>
      <c r="J71" s="94"/>
      <c r="K71" s="94"/>
      <c r="L71" s="95"/>
      <c r="M71" s="199"/>
      <c r="N71" s="7"/>
      <c r="O71" s="7"/>
      <c r="P71" s="7"/>
      <c r="Q71" s="7"/>
    </row>
    <row r="72" spans="2:17" ht="16.5" customHeight="1" x14ac:dyDescent="0.3">
      <c r="B72" s="719" t="s">
        <v>170</v>
      </c>
      <c r="C72" s="720"/>
      <c r="D72" s="720"/>
      <c r="E72" s="720"/>
      <c r="F72" s="720"/>
      <c r="G72" s="720"/>
      <c r="H72" s="720"/>
      <c r="I72" s="720"/>
      <c r="J72" s="717">
        <f>K12</f>
        <v>2026</v>
      </c>
      <c r="K72" s="723">
        <f>SUM(L23:L69)</f>
        <v>0</v>
      </c>
      <c r="L72" s="723"/>
      <c r="M72" s="90"/>
      <c r="N72" s="7"/>
      <c r="O72" s="7"/>
      <c r="P72" s="7"/>
      <c r="Q72" s="7"/>
    </row>
    <row r="73" spans="2:17" ht="14.25" customHeight="1" thickBot="1" x14ac:dyDescent="0.3">
      <c r="B73" s="721"/>
      <c r="C73" s="722"/>
      <c r="D73" s="722"/>
      <c r="E73" s="722"/>
      <c r="F73" s="722"/>
      <c r="G73" s="722"/>
      <c r="H73" s="722"/>
      <c r="I73" s="722"/>
      <c r="J73" s="718"/>
      <c r="K73" s="724"/>
      <c r="L73" s="724"/>
      <c r="M73" s="42"/>
      <c r="N73" s="7"/>
      <c r="O73" s="7"/>
      <c r="P73" s="7"/>
      <c r="Q73" s="7"/>
    </row>
    <row r="74" spans="2:17" ht="14.4" thickTop="1" x14ac:dyDescent="0.25">
      <c r="D74" s="9"/>
      <c r="E74" s="9"/>
      <c r="F74" s="9"/>
      <c r="G74" s="9"/>
      <c r="H74" s="9"/>
      <c r="I74" s="9"/>
      <c r="J74" s="9"/>
      <c r="K74" s="9"/>
      <c r="L74" s="9"/>
      <c r="M74" s="9"/>
      <c r="N74" s="6"/>
      <c r="O74" s="6"/>
      <c r="P74" s="6"/>
      <c r="Q74" s="6"/>
    </row>
  </sheetData>
  <sheetProtection algorithmName="SHA-512" hashValue="Sz9mvMy3y5bIQV1vrjIkQuSjPqMvc5DLCpIvRdGbI8W9nAilkIuLLlUH5hM1r7H+eA7T/CJWR6B27lJGkIs+Hw==" saltValue="6lgGMXd61ycY+YtLE0l1ZQ==" spinCount="100000" sheet="1" selectLockedCells="1"/>
  <mergeCells count="102">
    <mergeCell ref="M36:M37"/>
    <mergeCell ref="K16:L16"/>
    <mergeCell ref="I20:I22"/>
    <mergeCell ref="J21:J22"/>
    <mergeCell ref="I35:I37"/>
    <mergeCell ref="J36:J37"/>
    <mergeCell ref="E37:H37"/>
    <mergeCell ref="K38:K40"/>
    <mergeCell ref="L38:L40"/>
    <mergeCell ref="M17:M18"/>
    <mergeCell ref="L23:L25"/>
    <mergeCell ref="K23:K25"/>
    <mergeCell ref="E22:H22"/>
    <mergeCell ref="E27:H27"/>
    <mergeCell ref="M23:M25"/>
    <mergeCell ref="M28:M29"/>
    <mergeCell ref="M32:M33"/>
    <mergeCell ref="L17:L18"/>
    <mergeCell ref="K17:K18"/>
    <mergeCell ref="M20:M22"/>
    <mergeCell ref="M38:M40"/>
    <mergeCell ref="L28:L29"/>
    <mergeCell ref="E31:H31"/>
    <mergeCell ref="G28:G29"/>
    <mergeCell ref="J72:J73"/>
    <mergeCell ref="I64:J65"/>
    <mergeCell ref="B72:I73"/>
    <mergeCell ref="K72:L73"/>
    <mergeCell ref="C68:D69"/>
    <mergeCell ref="B68:B69"/>
    <mergeCell ref="E66:F66"/>
    <mergeCell ref="E67:G67"/>
    <mergeCell ref="G32:G33"/>
    <mergeCell ref="K32:K33"/>
    <mergeCell ref="L32:L33"/>
    <mergeCell ref="C62:D64"/>
    <mergeCell ref="B62:B64"/>
    <mergeCell ref="C38:D39"/>
    <mergeCell ref="B38:B39"/>
    <mergeCell ref="F63:F64"/>
    <mergeCell ref="H62:H63"/>
    <mergeCell ref="H64:H65"/>
    <mergeCell ref="K44:K45"/>
    <mergeCell ref="E42:J42"/>
    <mergeCell ref="F44:G44"/>
    <mergeCell ref="F45:G45"/>
    <mergeCell ref="H44:I44"/>
    <mergeCell ref="K28:K29"/>
    <mergeCell ref="E61:H61"/>
    <mergeCell ref="E56:G56"/>
    <mergeCell ref="G52:H52"/>
    <mergeCell ref="G57:H58"/>
    <mergeCell ref="F57:F58"/>
    <mergeCell ref="M57:M58"/>
    <mergeCell ref="M62:M63"/>
    <mergeCell ref="M64:M65"/>
    <mergeCell ref="K57:K58"/>
    <mergeCell ref="L57:L58"/>
    <mergeCell ref="M52:M53"/>
    <mergeCell ref="K48:K49"/>
    <mergeCell ref="L48:L49"/>
    <mergeCell ref="K52:K53"/>
    <mergeCell ref="L52:L53"/>
    <mergeCell ref="L44:L45"/>
    <mergeCell ref="J52:J53"/>
    <mergeCell ref="I52:I53"/>
    <mergeCell ref="E46:H46"/>
    <mergeCell ref="E51:H51"/>
    <mergeCell ref="E48:E49"/>
    <mergeCell ref="F48:G49"/>
    <mergeCell ref="E47:G47"/>
    <mergeCell ref="M68:M69"/>
    <mergeCell ref="F68:F69"/>
    <mergeCell ref="G68:H69"/>
    <mergeCell ref="K68:K69"/>
    <mergeCell ref="L68:L69"/>
    <mergeCell ref="K64:K65"/>
    <mergeCell ref="L64:L65"/>
    <mergeCell ref="E65:F65"/>
    <mergeCell ref="I62:J63"/>
    <mergeCell ref="K62:K63"/>
    <mergeCell ref="L62:L63"/>
    <mergeCell ref="G62:G63"/>
    <mergeCell ref="G64:G65"/>
    <mergeCell ref="E63:E64"/>
    <mergeCell ref="B17:C18"/>
    <mergeCell ref="B20:B21"/>
    <mergeCell ref="C23:D24"/>
    <mergeCell ref="B23:B24"/>
    <mergeCell ref="C28:D29"/>
    <mergeCell ref="B28:B29"/>
    <mergeCell ref="C20:D21"/>
    <mergeCell ref="C57:D58"/>
    <mergeCell ref="B57:B58"/>
    <mergeCell ref="C32:D33"/>
    <mergeCell ref="B32:B33"/>
    <mergeCell ref="C52:D53"/>
    <mergeCell ref="B52:B53"/>
    <mergeCell ref="C44:D45"/>
    <mergeCell ref="B44:B45"/>
    <mergeCell ref="C48:D49"/>
    <mergeCell ref="B48:B49"/>
  </mergeCells>
  <conditionalFormatting sqref="M23:M25">
    <cfRule type="containsText" dxfId="33" priority="2" operator="containsText" text="8 % Ackerfläche überschritten, aber 1 ha-Regelung angewendet">
      <formula>NOT(ISERROR(SEARCH("8 % Ackerfläche überschritten, aber 1 ha-Regelung angewendet",M23)))</formula>
    </cfRule>
    <cfRule type="containsText" dxfId="32" priority="9" operator="containsText" text="1-ha-Regelung angewendet">
      <formula>NOT(ISERROR(SEARCH("1-ha-Regelung angewendet",M23)))</formula>
    </cfRule>
    <cfRule type="containsText" dxfId="31" priority="10" operator="containsText" text="1 % Mindestfläche unterschritten, aber 1 ha-Regelung angewendet">
      <formula>NOT(ISERROR(SEARCH("1 % Mindestfläche unterschritten, aber 1 ha-Regelung angewendet",M23)))</formula>
    </cfRule>
    <cfRule type="containsText" dxfId="30" priority="11" operator="containsText" text="6 % Ackerfläche überschritten, aber 1 ha-Regelung angewendet">
      <formula>NOT(ISERROR(SEARCH("6 % Ackerfläche überschritten, aber 1 ha-Regelung angewendet",M23)))</formula>
    </cfRule>
  </conditionalFormatting>
  <conditionalFormatting sqref="M38">
    <cfRule type="containsText" dxfId="29" priority="3" operator="containsText" text="1-ha-Regelung angewendet">
      <formula>NOT(ISERROR(SEARCH("1-ha-Regelung angewendet",M38)))</formula>
    </cfRule>
    <cfRule type="containsText" dxfId="28" priority="4" operator="containsText" text="1 % Mindestfläche unterschritten, aber 1 ha-Regelung angewendet">
      <formula>NOT(ISERROR(SEARCH("1 % Mindestfläche unterschritten, aber 1 ha-Regelung angewendet",M38)))</formula>
    </cfRule>
    <cfRule type="containsText" dxfId="27" priority="5" operator="containsText" text="6 % Grünlandfläche überschritten, aber 1 ha-Regelung angewendet">
      <formula>NOT(ISERROR(SEARCH("6 % Grünlandfläche überschritten, aber 1 ha-Regelung angewendet",M38)))</formula>
    </cfRule>
  </conditionalFormatting>
  <conditionalFormatting sqref="M38:M40">
    <cfRule type="containsText" dxfId="26" priority="1" operator="containsText" text="FALSCH">
      <formula>NOT(ISERROR(SEARCH("FALSCH",M38)))</formula>
    </cfRule>
  </conditionalFormatting>
  <dataValidations count="1">
    <dataValidation type="list" allowBlank="1" showInputMessage="1" showErrorMessage="1" sqref="H53 I45" xr:uid="{00000000-0002-0000-0300-000000000000}">
      <formula1>TN_OER2u4</formula1>
    </dataValidation>
  </dataValidations>
  <pageMargins left="0.70866141732283472" right="0.70866141732283472" top="0.78740157480314965" bottom="0.78740157480314965" header="0.31496062992125984" footer="0.31496062992125984"/>
  <pageSetup paperSize="9" scale="46" orientation="landscape" r:id="rId1"/>
  <headerFooter>
    <oddFooter>&amp;L&amp;8&amp;A&amp;R&amp;8&amp;F</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1000000}">
          <x14:formula1>
            <xm:f>Datengrundlage!$AS$4:$AU$4</xm:f>
          </x14:formula1>
          <xm:sqref>O12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7">
    <pageSetUpPr fitToPage="1"/>
  </sheetPr>
  <dimension ref="B2:S346"/>
  <sheetViews>
    <sheetView showGridLines="0" zoomScale="110" zoomScaleNormal="110" zoomScaleSheetLayoutView="100" workbookViewId="0">
      <selection activeCell="H23" sqref="H23"/>
    </sheetView>
  </sheetViews>
  <sheetFormatPr baseColWidth="10" defaultRowHeight="13.8" x14ac:dyDescent="0.25"/>
  <cols>
    <col min="1" max="1" width="4.19921875" customWidth="1"/>
    <col min="2" max="2" width="6" customWidth="1"/>
    <col min="3" max="3" width="7.19921875" customWidth="1"/>
    <col min="4" max="4" width="6.19921875" customWidth="1"/>
    <col min="5" max="5" width="20" customWidth="1"/>
    <col min="6" max="6" width="11.59765625" customWidth="1"/>
    <col min="7" max="7" width="14.19921875" customWidth="1"/>
    <col min="8" max="8" width="13.69921875" customWidth="1"/>
    <col min="9" max="9" width="12.59765625" customWidth="1"/>
    <col min="10" max="10" width="5.19921875" style="2" hidden="1" customWidth="1"/>
    <col min="11" max="11" width="7.59765625" customWidth="1"/>
    <col min="12" max="12" width="29.5" customWidth="1"/>
    <col min="13" max="13" width="12.69921875" customWidth="1"/>
    <col min="14" max="14" width="15.3984375" customWidth="1"/>
    <col min="15" max="15" width="15.19921875" customWidth="1"/>
  </cols>
  <sheetData>
    <row r="2" spans="2:19" ht="24.6" x14ac:dyDescent="0.25">
      <c r="B2" s="20" t="s">
        <v>702</v>
      </c>
      <c r="G2" s="6"/>
      <c r="H2" s="6"/>
      <c r="I2" s="6"/>
      <c r="J2" s="228"/>
      <c r="K2" s="6"/>
      <c r="L2" s="6"/>
      <c r="M2" s="6"/>
      <c r="N2" s="6"/>
      <c r="O2" s="6"/>
      <c r="P2" s="6"/>
      <c r="Q2" s="6"/>
      <c r="R2" s="6"/>
      <c r="S2" s="6"/>
    </row>
    <row r="3" spans="2:19" ht="17.399999999999999" x14ac:dyDescent="0.25">
      <c r="B3" s="113" t="s">
        <v>531</v>
      </c>
      <c r="G3" s="6"/>
      <c r="H3" s="6"/>
      <c r="I3" s="6"/>
      <c r="J3" s="228"/>
      <c r="K3" s="6"/>
      <c r="L3" s="6"/>
      <c r="M3" s="6"/>
      <c r="N3" s="6"/>
      <c r="O3" s="6"/>
      <c r="P3" s="6"/>
      <c r="Q3" s="6"/>
      <c r="R3" s="6"/>
      <c r="S3" s="6"/>
    </row>
    <row r="4" spans="2:19" ht="14.4" thickBot="1" x14ac:dyDescent="0.3">
      <c r="F4" s="6"/>
      <c r="G4" s="6"/>
      <c r="H4" s="6"/>
      <c r="I4" s="6"/>
      <c r="J4" s="228"/>
      <c r="K4" s="6"/>
      <c r="L4" s="6"/>
      <c r="M4" s="6"/>
      <c r="N4" s="6"/>
      <c r="O4" s="6"/>
      <c r="P4" s="6"/>
      <c r="Q4" s="6"/>
      <c r="R4" s="6"/>
      <c r="S4" s="6"/>
    </row>
    <row r="5" spans="2:19" ht="15" thickTop="1" thickBot="1" x14ac:dyDescent="0.3">
      <c r="B5" s="33" t="s">
        <v>67</v>
      </c>
      <c r="C5" s="84"/>
      <c r="D5" s="35"/>
      <c r="E5" s="35"/>
      <c r="F5" s="34"/>
      <c r="G5" s="34"/>
      <c r="H5" s="35"/>
      <c r="I5" s="35"/>
      <c r="J5" s="569"/>
      <c r="K5" s="35"/>
      <c r="L5" s="36"/>
      <c r="M5" s="34"/>
      <c r="N5" s="37"/>
      <c r="P5" s="9"/>
      <c r="Q5" s="9"/>
      <c r="R5" s="6"/>
      <c r="S5" s="6"/>
    </row>
    <row r="6" spans="2:19" ht="14.4" thickBot="1" x14ac:dyDescent="0.3">
      <c r="B6" s="63" t="s">
        <v>48</v>
      </c>
      <c r="C6" s="14"/>
      <c r="D6" s="26"/>
      <c r="E6" s="26"/>
      <c r="F6" s="9"/>
      <c r="G6" s="9"/>
      <c r="H6" s="26"/>
      <c r="I6" s="26"/>
      <c r="J6" s="570"/>
      <c r="K6" s="26"/>
      <c r="L6" s="16" t="s">
        <v>9</v>
      </c>
      <c r="M6" s="188" t="str">
        <f>Basisprämie!C8</f>
        <v>bitte wählen</v>
      </c>
      <c r="N6" s="40"/>
      <c r="P6" s="9"/>
      <c r="Q6" s="9"/>
      <c r="R6" s="6"/>
      <c r="S6" s="6"/>
    </row>
    <row r="7" spans="2:19" ht="6" customHeight="1" thickBot="1" x14ac:dyDescent="0.3">
      <c r="B7" s="69"/>
      <c r="C7" s="14"/>
      <c r="D7" s="14"/>
      <c r="E7" s="68"/>
      <c r="F7" s="9"/>
      <c r="G7" s="9"/>
      <c r="H7" s="26"/>
      <c r="I7" s="26"/>
      <c r="J7" s="570"/>
      <c r="K7" s="26"/>
      <c r="L7" s="15"/>
      <c r="M7" s="9"/>
      <c r="N7" s="40"/>
      <c r="P7" s="9"/>
      <c r="Q7" s="9"/>
      <c r="R7" s="6"/>
      <c r="S7" s="6"/>
    </row>
    <row r="8" spans="2:19" ht="15.75" customHeight="1" thickBot="1" x14ac:dyDescent="0.3">
      <c r="B8" s="38" t="s">
        <v>47</v>
      </c>
      <c r="C8" s="14"/>
      <c r="D8" s="26"/>
      <c r="E8" s="26"/>
      <c r="F8" s="467">
        <f>Basisprämie!C14</f>
        <v>0</v>
      </c>
      <c r="G8" s="9" t="s">
        <v>0</v>
      </c>
      <c r="H8" s="57"/>
      <c r="I8" s="26"/>
      <c r="J8" s="570"/>
      <c r="K8" s="26"/>
      <c r="L8" s="9" t="s">
        <v>46</v>
      </c>
      <c r="M8" s="467">
        <f>Basisprämie!C26</f>
        <v>0</v>
      </c>
      <c r="N8" s="40" t="s">
        <v>0</v>
      </c>
      <c r="P8" s="10"/>
      <c r="Q8" s="72"/>
      <c r="R8" s="7"/>
      <c r="S8" s="7"/>
    </row>
    <row r="9" spans="2:19" ht="7.5" customHeight="1" thickBot="1" x14ac:dyDescent="0.3">
      <c r="B9" s="38"/>
      <c r="C9" s="14"/>
      <c r="D9" s="26"/>
      <c r="E9" s="26"/>
      <c r="F9" s="468"/>
      <c r="G9" s="9"/>
      <c r="H9" s="57"/>
      <c r="I9" s="26"/>
      <c r="J9" s="570"/>
      <c r="K9" s="26"/>
      <c r="L9" s="9"/>
      <c r="M9" s="470"/>
      <c r="N9" s="40"/>
      <c r="P9" s="10"/>
      <c r="Q9" s="73"/>
      <c r="R9" s="7"/>
      <c r="S9" s="7"/>
    </row>
    <row r="10" spans="2:19" ht="14.4" thickBot="1" x14ac:dyDescent="0.3">
      <c r="B10" s="39" t="s">
        <v>44</v>
      </c>
      <c r="C10" s="14"/>
      <c r="D10" s="26"/>
      <c r="E10" s="26"/>
      <c r="F10" s="467">
        <f>Basisprämie!C16</f>
        <v>0</v>
      </c>
      <c r="G10" s="9" t="s">
        <v>0</v>
      </c>
      <c r="H10" s="57"/>
      <c r="I10" s="26"/>
      <c r="J10" s="570"/>
      <c r="K10" s="26"/>
      <c r="L10" s="9" t="s">
        <v>661</v>
      </c>
      <c r="M10" s="471">
        <f>Basisprämie!C22</f>
        <v>0</v>
      </c>
      <c r="N10" s="40" t="s">
        <v>0</v>
      </c>
      <c r="P10" s="11"/>
      <c r="Q10" s="72"/>
      <c r="R10" s="7"/>
      <c r="S10" s="7"/>
    </row>
    <row r="11" spans="2:19" ht="7.5" customHeight="1" thickBot="1" x14ac:dyDescent="0.3">
      <c r="B11" s="39"/>
      <c r="C11" s="14"/>
      <c r="D11" s="26"/>
      <c r="E11" s="26"/>
      <c r="F11" s="468"/>
      <c r="G11" s="9"/>
      <c r="H11" s="57"/>
      <c r="I11" s="26"/>
      <c r="J11" s="570"/>
      <c r="K11" s="26"/>
      <c r="L11" s="43"/>
      <c r="M11" s="9"/>
      <c r="N11" s="40"/>
      <c r="P11" s="11"/>
      <c r="Q11" s="73"/>
      <c r="R11" s="7"/>
      <c r="S11" s="7"/>
    </row>
    <row r="12" spans="2:19" ht="14.4" thickBot="1" x14ac:dyDescent="0.3">
      <c r="B12" s="39" t="s">
        <v>45</v>
      </c>
      <c r="C12" s="14"/>
      <c r="D12" s="26"/>
      <c r="E12" s="26"/>
      <c r="F12" s="467">
        <f>Basisprämie!C24</f>
        <v>0</v>
      </c>
      <c r="G12" s="9" t="s">
        <v>0</v>
      </c>
      <c r="H12" s="57"/>
      <c r="I12" s="26"/>
      <c r="J12" s="570"/>
      <c r="K12" s="26"/>
      <c r="L12" s="12" t="s">
        <v>65</v>
      </c>
      <c r="M12" s="74">
        <f>Basisprämie!C42</f>
        <v>2026</v>
      </c>
      <c r="N12" s="40"/>
      <c r="P12" s="9"/>
      <c r="Q12" s="73"/>
      <c r="R12" s="7"/>
      <c r="S12" s="7"/>
    </row>
    <row r="13" spans="2:19" ht="6.75" customHeight="1" thickBot="1" x14ac:dyDescent="0.3">
      <c r="B13" s="70"/>
      <c r="C13" s="562"/>
      <c r="D13" s="562"/>
      <c r="E13" s="41"/>
      <c r="F13" s="65"/>
      <c r="G13" s="41"/>
      <c r="H13" s="66"/>
      <c r="I13" s="27"/>
      <c r="J13" s="571"/>
      <c r="K13" s="27"/>
      <c r="L13" s="67"/>
      <c r="M13" s="41"/>
      <c r="N13" s="42"/>
      <c r="P13" s="9"/>
      <c r="Q13" s="73"/>
      <c r="R13" s="7"/>
      <c r="S13" s="7"/>
    </row>
    <row r="14" spans="2:19" ht="14.4" thickTop="1" x14ac:dyDescent="0.25">
      <c r="B14" s="14"/>
      <c r="C14" s="14"/>
      <c r="D14" s="14"/>
      <c r="E14" s="14"/>
      <c r="F14" s="26"/>
      <c r="G14" s="26"/>
      <c r="H14" s="26"/>
      <c r="I14" s="57"/>
      <c r="J14" s="57"/>
      <c r="K14" s="57"/>
      <c r="L14" s="26"/>
      <c r="M14" s="12"/>
      <c r="N14" s="9"/>
      <c r="O14" s="9"/>
      <c r="P14" s="9"/>
      <c r="Q14" s="73"/>
      <c r="R14" s="7"/>
      <c r="S14" s="7"/>
    </row>
    <row r="15" spans="2:19" ht="15" customHeight="1" x14ac:dyDescent="0.25">
      <c r="D15" s="98"/>
    </row>
    <row r="16" spans="2:19" ht="15" customHeight="1" thickBot="1" x14ac:dyDescent="0.3"/>
    <row r="17" spans="2:11" ht="18.75" customHeight="1" x14ac:dyDescent="0.3">
      <c r="B17" s="549"/>
      <c r="C17" s="485"/>
      <c r="D17" s="486" t="s">
        <v>703</v>
      </c>
      <c r="E17" s="485"/>
      <c r="F17" s="485"/>
      <c r="G17" s="485"/>
      <c r="H17" s="485"/>
      <c r="I17" s="487"/>
    </row>
    <row r="18" spans="2:11" ht="15" customHeight="1" x14ac:dyDescent="0.25">
      <c r="B18" s="175"/>
      <c r="C18" s="26"/>
      <c r="D18" s="26"/>
      <c r="E18" s="26"/>
      <c r="F18" s="26"/>
      <c r="G18" s="26"/>
      <c r="H18" s="26"/>
      <c r="I18" s="176"/>
    </row>
    <row r="19" spans="2:11" ht="15" customHeight="1" x14ac:dyDescent="0.25">
      <c r="B19" s="175"/>
      <c r="C19" s="780" t="s">
        <v>88</v>
      </c>
      <c r="D19" s="782" t="str">
        <f>IF(I32="ja",Datengrundlage!AS10,Datengrundlage!AR10)</f>
        <v>Förderung der Beibehaltung des ökologischen Landbaus</v>
      </c>
      <c r="E19" s="782"/>
      <c r="F19" s="782"/>
      <c r="G19" s="26"/>
      <c r="H19" s="26"/>
      <c r="I19" s="176"/>
    </row>
    <row r="20" spans="2:11" ht="15" customHeight="1" x14ac:dyDescent="0.25">
      <c r="B20" s="553"/>
      <c r="C20" s="781"/>
      <c r="D20" s="783"/>
      <c r="E20" s="783"/>
      <c r="F20" s="783"/>
      <c r="G20" s="149"/>
      <c r="H20" s="554"/>
      <c r="I20" s="555"/>
    </row>
    <row r="21" spans="2:11" ht="15" customHeight="1" x14ac:dyDescent="0.25">
      <c r="B21" s="175"/>
      <c r="C21" s="26"/>
      <c r="D21" s="538"/>
      <c r="E21" s="533"/>
      <c r="F21" s="533"/>
      <c r="G21" s="26"/>
      <c r="H21" s="752" t="s">
        <v>94</v>
      </c>
      <c r="I21" s="754" t="s">
        <v>106</v>
      </c>
    </row>
    <row r="22" spans="2:11" ht="15" customHeight="1" thickBot="1" x14ac:dyDescent="0.3">
      <c r="B22" s="175"/>
      <c r="C22" s="26"/>
      <c r="D22" s="538"/>
      <c r="E22" s="533"/>
      <c r="F22" s="533"/>
      <c r="G22" s="26"/>
      <c r="H22" s="753"/>
      <c r="I22" s="755"/>
    </row>
    <row r="23" spans="2:11" ht="15" customHeight="1" thickBot="1" x14ac:dyDescent="0.3">
      <c r="B23" s="175"/>
      <c r="C23" s="26"/>
      <c r="D23" s="786" t="s">
        <v>90</v>
      </c>
      <c r="E23" s="786"/>
      <c r="F23" s="177">
        <f>IF($I$32="ja",VLOOKUP(D23,Datengrundlage!$AE$37:$AH$40,4,FALSE),VLOOKUP(D23,Datengrundlage!$AE$37:$AH$40,3,FALSE))</f>
        <v>300</v>
      </c>
      <c r="G23" s="26"/>
      <c r="H23" s="192">
        <v>0</v>
      </c>
      <c r="I23" s="102">
        <f>IF($M$6="ökologisch",F23*H23,0)</f>
        <v>0</v>
      </c>
    </row>
    <row r="24" spans="2:11" ht="15" customHeight="1" thickBot="1" x14ac:dyDescent="0.3">
      <c r="B24" s="175"/>
      <c r="C24" s="26"/>
      <c r="D24" s="786" t="s">
        <v>91</v>
      </c>
      <c r="E24" s="786"/>
      <c r="F24" s="177">
        <f>IF($I$32="ja",VLOOKUP(D24,Datengrundlage!$AE$37:$AH$40,4,FALSE),VLOOKUP(D24,Datengrundlage!$AE$37:$AH$40,3,FALSE))</f>
        <v>200</v>
      </c>
      <c r="G24" s="26"/>
      <c r="H24" s="132">
        <f>IF($M$6="ökologisch",F12,0)</f>
        <v>0</v>
      </c>
      <c r="I24" s="102">
        <f>IF($M$6="ökologisch",F24*H24,0)</f>
        <v>0</v>
      </c>
    </row>
    <row r="25" spans="2:11" ht="15" customHeight="1" thickBot="1" x14ac:dyDescent="0.3">
      <c r="B25" s="175"/>
      <c r="C25" s="26"/>
      <c r="D25" s="786" t="s">
        <v>92</v>
      </c>
      <c r="E25" s="786"/>
      <c r="F25" s="177">
        <f>IF($I$32="ja",VLOOKUP(D25,Datengrundlage!$AE$37:$AH$40,4,FALSE),VLOOKUP(D25,Datengrundlage!$AE$37:$AH$40,3,FALSE))</f>
        <v>500</v>
      </c>
      <c r="G25" s="26"/>
      <c r="H25" s="192">
        <v>0</v>
      </c>
      <c r="I25" s="102">
        <f>IF($M$6="ökologisch",F25*H25,0)</f>
        <v>0</v>
      </c>
    </row>
    <row r="26" spans="2:11" ht="15" customHeight="1" thickBot="1" x14ac:dyDescent="0.3">
      <c r="B26" s="175"/>
      <c r="C26" s="26"/>
      <c r="D26" s="786" t="s">
        <v>93</v>
      </c>
      <c r="E26" s="786"/>
      <c r="F26" s="177">
        <f>IF($I$32="ja",VLOOKUP(D26,Datengrundlage!$AE$37:$AH$40,4,FALSE),VLOOKUP(D26,Datengrundlage!$AE$37:$AH$40,3,FALSE))</f>
        <v>1000</v>
      </c>
      <c r="G26" s="26"/>
      <c r="H26" s="132">
        <f>IF($M$6="ökologisch",$M$8,0)</f>
        <v>0</v>
      </c>
      <c r="I26" s="102">
        <f>IF($M$6="ökologisch",F26*H26,0)</f>
        <v>0</v>
      </c>
    </row>
    <row r="27" spans="2:11" ht="15" customHeight="1" thickBot="1" x14ac:dyDescent="0.3">
      <c r="B27" s="175"/>
      <c r="C27" s="26"/>
      <c r="D27" s="537"/>
      <c r="E27" s="537"/>
      <c r="F27" s="177"/>
      <c r="G27" s="26"/>
      <c r="H27" s="508"/>
      <c r="I27" s="478"/>
    </row>
    <row r="28" spans="2:11" ht="15" customHeight="1" thickBot="1" x14ac:dyDescent="0.3">
      <c r="B28" s="175"/>
      <c r="C28" s="26"/>
      <c r="D28" s="537"/>
      <c r="E28" s="185" t="s">
        <v>511</v>
      </c>
      <c r="F28" s="115"/>
      <c r="G28" s="26"/>
      <c r="H28" s="508"/>
      <c r="I28" s="102">
        <f>IF(AND(M6="ökologisch",(SUM(H23:H26)*40)&lt;600),SUM(H23:H26)*40,IF(AND(M6="ökologisch",SUM(H23:H26)*40&gt;600),600,0))</f>
        <v>0</v>
      </c>
      <c r="J28" s="570"/>
      <c r="K28" s="26"/>
    </row>
    <row r="29" spans="2:11" ht="15" customHeight="1" thickBot="1" x14ac:dyDescent="0.3">
      <c r="B29" s="175"/>
      <c r="C29" s="26"/>
      <c r="D29" s="26"/>
      <c r="E29" s="26"/>
      <c r="F29" s="26"/>
      <c r="G29" s="26"/>
      <c r="H29" s="26"/>
      <c r="I29" s="176"/>
      <c r="J29" s="572"/>
      <c r="K29" s="26"/>
    </row>
    <row r="30" spans="2:11" ht="15" customHeight="1" thickBot="1" x14ac:dyDescent="0.3">
      <c r="B30" s="175"/>
      <c r="C30" s="26"/>
      <c r="D30" s="26"/>
      <c r="E30" s="537" t="s">
        <v>510</v>
      </c>
      <c r="F30" s="26"/>
      <c r="G30" s="26"/>
      <c r="H30" s="746">
        <f>IF(AND($M$6="ökologisch",$F$10&gt;0),F8-SUM(H23:H26),0)</f>
        <v>0</v>
      </c>
      <c r="I30" s="747"/>
      <c r="J30" s="570"/>
      <c r="K30" s="26"/>
    </row>
    <row r="31" spans="2:11" ht="15" customHeight="1" thickBot="1" x14ac:dyDescent="0.3">
      <c r="B31" s="175"/>
      <c r="C31" s="26"/>
      <c r="D31" s="26"/>
      <c r="E31" s="26"/>
      <c r="F31" s="26"/>
      <c r="G31" s="26"/>
      <c r="H31" s="520" t="str">
        <f>IF(H30&gt;0,"Bitte Ackerfläche verteilen",IF(AND(H30&gt;0,$M$6&lt;&gt;"ökologisch"),"Keine ökologische Bewirtschaftung",IF(H30&lt;0,"Flächenverteilung überprüfen!",IF(AND(SUM(H23:H26)&gt;0,$M$6&lt;&gt;"ökologisch"),"Keine ökologische Bewirtschaftung",""))))</f>
        <v/>
      </c>
      <c r="I31" s="521"/>
      <c r="J31" s="570" t="str">
        <f>IF(H31&lt;&gt;"","!","")</f>
        <v/>
      </c>
      <c r="K31" s="26"/>
    </row>
    <row r="32" spans="2:11" ht="15" customHeight="1" thickBot="1" x14ac:dyDescent="0.3">
      <c r="B32" s="175"/>
      <c r="C32" s="26"/>
      <c r="D32" s="26"/>
      <c r="E32" s="260" t="s">
        <v>213</v>
      </c>
      <c r="F32" s="26"/>
      <c r="G32" s="26"/>
      <c r="H32" s="26"/>
      <c r="I32" s="274" t="s">
        <v>38</v>
      </c>
      <c r="J32" s="570"/>
      <c r="K32" s="26"/>
    </row>
    <row r="33" spans="2:9" ht="15" customHeight="1" x14ac:dyDescent="0.25">
      <c r="B33" s="175"/>
      <c r="C33" s="26"/>
      <c r="D33" s="26"/>
      <c r="E33" s="179" t="s">
        <v>644</v>
      </c>
      <c r="F33" s="26"/>
      <c r="G33" s="26"/>
      <c r="H33" s="26"/>
      <c r="I33" s="275"/>
    </row>
    <row r="34" spans="2:9" ht="15" customHeight="1" x14ac:dyDescent="0.25">
      <c r="B34" s="175"/>
      <c r="C34" s="26"/>
      <c r="D34" s="26"/>
      <c r="E34" s="26"/>
      <c r="F34" s="26"/>
      <c r="G34" s="26"/>
      <c r="H34" s="26"/>
      <c r="I34" s="275"/>
    </row>
    <row r="35" spans="2:9" ht="15" customHeight="1" thickBot="1" x14ac:dyDescent="0.3">
      <c r="B35" s="175"/>
      <c r="C35" s="26"/>
      <c r="D35" s="26"/>
      <c r="E35" s="178" t="s">
        <v>200</v>
      </c>
      <c r="F35" s="26"/>
      <c r="G35" s="26"/>
      <c r="H35" s="26"/>
      <c r="I35" s="176"/>
    </row>
    <row r="36" spans="2:9" ht="15" customHeight="1" thickBot="1" x14ac:dyDescent="0.3">
      <c r="B36" s="175"/>
      <c r="C36" s="26"/>
      <c r="D36" s="26"/>
      <c r="E36" s="580" t="s">
        <v>691</v>
      </c>
      <c r="F36" s="568"/>
      <c r="G36" s="26"/>
      <c r="H36" s="133">
        <f>Basisprämie!C22</f>
        <v>0</v>
      </c>
      <c r="I36" s="102">
        <f>IF($M$6="ökologisch",H36*(-F23),0)</f>
        <v>0</v>
      </c>
    </row>
    <row r="37" spans="2:9" ht="15" customHeight="1" thickBot="1" x14ac:dyDescent="0.3">
      <c r="B37" s="175"/>
      <c r="C37" s="26"/>
      <c r="D37" s="26"/>
      <c r="E37" s="179" t="s">
        <v>185</v>
      </c>
      <c r="F37" s="26"/>
      <c r="G37" s="26"/>
      <c r="H37" s="181"/>
      <c r="I37" s="176"/>
    </row>
    <row r="38" spans="2:9" ht="15" customHeight="1" thickBot="1" x14ac:dyDescent="0.3">
      <c r="B38" s="175"/>
      <c r="C38" s="26"/>
      <c r="D38" s="26"/>
      <c r="E38" s="26" t="s">
        <v>663</v>
      </c>
      <c r="F38" s="26"/>
      <c r="G38" s="26"/>
      <c r="H38" s="133">
        <f>'Öko-Regelungen'!K23</f>
        <v>0</v>
      </c>
      <c r="I38" s="102">
        <f>IF($M$6="ökologisch",H38*F23*-1,IF(AND(M6="ökologisch",I32="ja",'Öko-Regelungen'!J25&gt;0),('HALM 2'!H38*'HALM 2'!F23)-('Öko-Regelungen'!I25*('HALM 2'!F23-'Öko-Regelungen'!G25)),0))</f>
        <v>0</v>
      </c>
    </row>
    <row r="39" spans="2:9" ht="15" customHeight="1" thickBot="1" x14ac:dyDescent="0.3">
      <c r="B39" s="175"/>
      <c r="C39" s="26"/>
      <c r="D39" s="26"/>
      <c r="E39" s="179" t="s">
        <v>489</v>
      </c>
      <c r="F39" s="26"/>
      <c r="G39" s="26"/>
      <c r="H39" s="181"/>
      <c r="I39" s="176"/>
    </row>
    <row r="40" spans="2:9" ht="15" customHeight="1" thickBot="1" x14ac:dyDescent="0.3">
      <c r="B40" s="175"/>
      <c r="C40" s="26"/>
      <c r="D40" s="26"/>
      <c r="E40" s="26" t="s">
        <v>222</v>
      </c>
      <c r="F40" s="26"/>
      <c r="G40" s="26"/>
      <c r="H40" s="133">
        <f>'Öko-Regelungen'!K28</f>
        <v>0</v>
      </c>
      <c r="I40" s="102">
        <f>IF($M$6="ökologisch",'Öko-Regelungen'!L28*-1,0)</f>
        <v>0</v>
      </c>
    </row>
    <row r="41" spans="2:9" ht="15" customHeight="1" thickBot="1" x14ac:dyDescent="0.3">
      <c r="B41" s="175"/>
      <c r="C41" s="26"/>
      <c r="D41" s="26"/>
      <c r="E41" s="179" t="s">
        <v>489</v>
      </c>
      <c r="F41" s="26"/>
      <c r="G41" s="26"/>
      <c r="H41" s="26"/>
      <c r="I41" s="176"/>
    </row>
    <row r="42" spans="2:9" ht="15" customHeight="1" thickBot="1" x14ac:dyDescent="0.3">
      <c r="B42" s="175"/>
      <c r="C42" s="26"/>
      <c r="D42" s="26"/>
      <c r="E42" s="26" t="s">
        <v>107</v>
      </c>
      <c r="F42" s="26"/>
      <c r="G42" s="26"/>
      <c r="H42" s="133">
        <f>'Öko-Regelungen'!K52</f>
        <v>0</v>
      </c>
      <c r="I42" s="102">
        <f>IF($M$6="ökologisch",H42*(-50),0)</f>
        <v>0</v>
      </c>
    </row>
    <row r="43" spans="2:9" ht="15" customHeight="1" thickBot="1" x14ac:dyDescent="0.3">
      <c r="B43" s="175"/>
      <c r="C43" s="26"/>
      <c r="D43" s="26"/>
      <c r="E43" s="179" t="s">
        <v>489</v>
      </c>
      <c r="F43" s="26"/>
      <c r="G43" s="26"/>
      <c r="H43" s="181"/>
      <c r="I43" s="176"/>
    </row>
    <row r="44" spans="2:9" ht="15" customHeight="1" thickBot="1" x14ac:dyDescent="0.3">
      <c r="B44" s="175"/>
      <c r="C44" s="26"/>
      <c r="D44" s="26"/>
      <c r="E44" s="26" t="s">
        <v>108</v>
      </c>
      <c r="F44" s="26"/>
      <c r="G44" s="26"/>
      <c r="H44" s="133">
        <f>SUM('Öko-Regelungen'!K62:K65)</f>
        <v>0</v>
      </c>
      <c r="I44" s="102">
        <f>IF($M$6="ökologisch",(SUM('Öko-Regelungen'!K62:K65)*'HALM 2'!F23)*-1,0)</f>
        <v>0</v>
      </c>
    </row>
    <row r="45" spans="2:9" ht="15" customHeight="1" x14ac:dyDescent="0.25">
      <c r="B45" s="175"/>
      <c r="C45" s="26"/>
      <c r="D45" s="26"/>
      <c r="E45" s="179" t="s">
        <v>489</v>
      </c>
      <c r="F45" s="26"/>
      <c r="G45" s="26"/>
      <c r="H45" s="181"/>
      <c r="I45" s="176"/>
    </row>
    <row r="46" spans="2:9" ht="15" customHeight="1" x14ac:dyDescent="0.25">
      <c r="B46" s="175"/>
      <c r="C46" s="26"/>
      <c r="D46" s="26"/>
      <c r="E46" s="26"/>
      <c r="F46" s="26"/>
      <c r="G46" s="26"/>
      <c r="H46" s="26"/>
      <c r="I46" s="176"/>
    </row>
    <row r="47" spans="2:9" ht="15" customHeight="1" thickBot="1" x14ac:dyDescent="0.3">
      <c r="B47" s="175"/>
      <c r="C47" s="26"/>
      <c r="D47" s="26"/>
      <c r="E47" s="178" t="s">
        <v>503</v>
      </c>
      <c r="F47" s="26"/>
      <c r="G47" s="26"/>
      <c r="H47" s="181"/>
      <c r="I47" s="176"/>
    </row>
    <row r="48" spans="2:9" ht="15" customHeight="1" thickBot="1" x14ac:dyDescent="0.3">
      <c r="B48" s="175"/>
      <c r="C48" s="26"/>
      <c r="D48" s="26"/>
      <c r="E48" s="14" t="s">
        <v>109</v>
      </c>
      <c r="F48" s="26"/>
      <c r="G48" s="26"/>
      <c r="H48" s="133">
        <f>H100</f>
        <v>0</v>
      </c>
      <c r="I48" s="102">
        <f>IF($M$6="ökologisch",H48*$F$23*(-1),0)</f>
        <v>0</v>
      </c>
    </row>
    <row r="49" spans="2:9" ht="15" customHeight="1" thickBot="1" x14ac:dyDescent="0.3">
      <c r="B49" s="175"/>
      <c r="C49" s="26"/>
      <c r="D49" s="26"/>
      <c r="E49" s="180" t="s">
        <v>110</v>
      </c>
      <c r="F49" s="26"/>
      <c r="G49" s="26"/>
      <c r="H49" s="181"/>
      <c r="I49" s="176"/>
    </row>
    <row r="50" spans="2:9" ht="15" customHeight="1" thickBot="1" x14ac:dyDescent="0.3">
      <c r="B50" s="175"/>
      <c r="C50" s="26"/>
      <c r="D50" s="26"/>
      <c r="E50" s="14" t="s">
        <v>111</v>
      </c>
      <c r="F50" s="26"/>
      <c r="G50" s="26"/>
      <c r="H50" s="133">
        <f>H118</f>
        <v>0</v>
      </c>
      <c r="I50" s="102">
        <f>IF($M$6="ökologisch",H50*$F$23*(-1),0)</f>
        <v>0</v>
      </c>
    </row>
    <row r="51" spans="2:9" ht="15" customHeight="1" thickBot="1" x14ac:dyDescent="0.3">
      <c r="B51" s="175"/>
      <c r="C51" s="26"/>
      <c r="D51" s="26"/>
      <c r="E51" s="180" t="s">
        <v>110</v>
      </c>
      <c r="F51" s="26"/>
      <c r="G51" s="26"/>
      <c r="H51" s="181"/>
      <c r="I51" s="176"/>
    </row>
    <row r="52" spans="2:9" ht="15" customHeight="1" thickBot="1" x14ac:dyDescent="0.3">
      <c r="B52" s="175"/>
      <c r="C52" s="26"/>
      <c r="D52" s="26"/>
      <c r="E52" s="14" t="s">
        <v>112</v>
      </c>
      <c r="F52" s="26"/>
      <c r="G52" s="26"/>
      <c r="H52" s="133">
        <f>H134</f>
        <v>0</v>
      </c>
      <c r="I52" s="102">
        <f>IF($M$6="ökologisch",H52*$F$23*(-1),0)</f>
        <v>0</v>
      </c>
    </row>
    <row r="53" spans="2:9" ht="15" customHeight="1" thickBot="1" x14ac:dyDescent="0.3">
      <c r="B53" s="175"/>
      <c r="C53" s="26"/>
      <c r="D53" s="26"/>
      <c r="E53" s="180" t="s">
        <v>110</v>
      </c>
      <c r="F53" s="26"/>
      <c r="G53" s="26"/>
      <c r="H53" s="181"/>
      <c r="I53" s="176"/>
    </row>
    <row r="54" spans="2:9" ht="15" customHeight="1" thickBot="1" x14ac:dyDescent="0.3">
      <c r="B54" s="175"/>
      <c r="C54" s="26"/>
      <c r="D54" s="26"/>
      <c r="E54" s="14" t="s">
        <v>113</v>
      </c>
      <c r="F54" s="26"/>
      <c r="G54" s="26"/>
      <c r="H54" s="133">
        <f>H150</f>
        <v>0</v>
      </c>
      <c r="I54" s="102">
        <f>IF($M$6="ökologisch",H54*$F$23*(-1),0)</f>
        <v>0</v>
      </c>
    </row>
    <row r="55" spans="2:9" ht="15" customHeight="1" x14ac:dyDescent="0.25">
      <c r="B55" s="175"/>
      <c r="C55" s="26"/>
      <c r="D55" s="26"/>
      <c r="E55" s="180" t="s">
        <v>110</v>
      </c>
      <c r="F55" s="26"/>
      <c r="G55" s="26"/>
      <c r="H55" s="181"/>
      <c r="I55" s="176"/>
    </row>
    <row r="56" spans="2:9" ht="15" customHeight="1" thickBot="1" x14ac:dyDescent="0.3">
      <c r="B56" s="540"/>
      <c r="C56" s="116"/>
      <c r="D56" s="116"/>
      <c r="E56" s="116"/>
      <c r="F56" s="116"/>
      <c r="G56" s="116"/>
      <c r="H56" s="116"/>
      <c r="I56" s="276"/>
    </row>
    <row r="57" spans="2:9" ht="15" customHeight="1" x14ac:dyDescent="0.25">
      <c r="B57" s="541"/>
      <c r="C57" s="539"/>
      <c r="D57" s="539"/>
      <c r="E57" s="539"/>
      <c r="F57" s="539"/>
      <c r="G57" s="539"/>
      <c r="H57" s="539"/>
      <c r="I57" s="273"/>
    </row>
    <row r="58" spans="2:9" ht="15" customHeight="1" x14ac:dyDescent="0.25">
      <c r="B58" s="175"/>
      <c r="C58" s="780" t="s">
        <v>130</v>
      </c>
      <c r="D58" s="784" t="s">
        <v>131</v>
      </c>
      <c r="E58" s="784"/>
      <c r="F58" s="784"/>
      <c r="G58" s="26"/>
      <c r="H58" s="182"/>
      <c r="I58" s="277"/>
    </row>
    <row r="59" spans="2:9" ht="15" customHeight="1" x14ac:dyDescent="0.25">
      <c r="B59" s="553"/>
      <c r="C59" s="781"/>
      <c r="D59" s="785"/>
      <c r="E59" s="785"/>
      <c r="F59" s="785"/>
      <c r="G59" s="149"/>
      <c r="H59" s="556"/>
      <c r="I59" s="557"/>
    </row>
    <row r="60" spans="2:9" ht="15" customHeight="1" x14ac:dyDescent="0.25">
      <c r="B60" s="175"/>
      <c r="C60" s="26"/>
      <c r="D60" s="538"/>
      <c r="E60" s="534"/>
      <c r="F60" s="534"/>
      <c r="G60" s="26"/>
      <c r="H60" s="534"/>
      <c r="I60" s="277"/>
    </row>
    <row r="61" spans="2:9" ht="15" customHeight="1" x14ac:dyDescent="0.25">
      <c r="B61" s="175"/>
      <c r="C61" s="26"/>
      <c r="D61" s="776" t="s">
        <v>114</v>
      </c>
      <c r="E61" s="682" t="s">
        <v>624</v>
      </c>
      <c r="F61" s="682"/>
      <c r="G61" s="26"/>
      <c r="H61" s="533"/>
      <c r="I61" s="514"/>
    </row>
    <row r="62" spans="2:9" ht="15" customHeight="1" x14ac:dyDescent="0.25">
      <c r="B62" s="175"/>
      <c r="C62" s="26"/>
      <c r="D62" s="776"/>
      <c r="E62" s="682"/>
      <c r="F62" s="682"/>
      <c r="G62" s="26"/>
      <c r="H62" s="533"/>
      <c r="I62" s="514"/>
    </row>
    <row r="63" spans="2:9" ht="15" customHeight="1" thickBot="1" x14ac:dyDescent="0.3">
      <c r="B63" s="175"/>
      <c r="C63" s="26"/>
      <c r="D63" s="538"/>
      <c r="E63" s="535"/>
      <c r="F63" s="534"/>
      <c r="G63" s="26"/>
      <c r="H63" s="533"/>
      <c r="I63" s="514"/>
    </row>
    <row r="64" spans="2:9" ht="15" customHeight="1" thickBot="1" x14ac:dyDescent="0.3">
      <c r="B64" s="175"/>
      <c r="C64" s="26"/>
      <c r="D64" s="538"/>
      <c r="E64" s="26" t="s">
        <v>184</v>
      </c>
      <c r="F64" s="534"/>
      <c r="G64" s="26"/>
      <c r="H64" s="133">
        <f>F10</f>
        <v>0</v>
      </c>
      <c r="I64" s="514"/>
    </row>
    <row r="65" spans="2:10" ht="15" customHeight="1" thickBot="1" x14ac:dyDescent="0.3">
      <c r="B65" s="175"/>
      <c r="C65" s="26"/>
      <c r="D65" s="538"/>
      <c r="E65" s="180" t="s">
        <v>185</v>
      </c>
      <c r="F65" s="534"/>
      <c r="G65" s="26"/>
      <c r="H65" s="533"/>
      <c r="I65" s="514"/>
    </row>
    <row r="66" spans="2:10" ht="15" customHeight="1" thickBot="1" x14ac:dyDescent="0.3">
      <c r="B66" s="175"/>
      <c r="C66" s="26"/>
      <c r="D66" s="538"/>
      <c r="E66" s="580" t="s">
        <v>691</v>
      </c>
      <c r="F66" s="534"/>
      <c r="G66" s="26"/>
      <c r="H66" s="133">
        <f>M10</f>
        <v>0</v>
      </c>
      <c r="I66" s="514"/>
    </row>
    <row r="67" spans="2:10" ht="15" customHeight="1" thickBot="1" x14ac:dyDescent="0.3">
      <c r="B67" s="175"/>
      <c r="C67" s="26"/>
      <c r="D67" s="538"/>
      <c r="E67" s="180" t="s">
        <v>664</v>
      </c>
      <c r="F67" s="534"/>
      <c r="G67" s="26"/>
      <c r="H67" s="533"/>
      <c r="I67" s="514"/>
    </row>
    <row r="68" spans="2:10" ht="15" customHeight="1" thickBot="1" x14ac:dyDescent="0.3">
      <c r="B68" s="175"/>
      <c r="C68" s="26"/>
      <c r="D68" s="538"/>
      <c r="E68" s="26" t="s">
        <v>663</v>
      </c>
      <c r="F68" s="534"/>
      <c r="G68" s="26"/>
      <c r="H68" s="133">
        <f>'Öko-Regelungen'!K23</f>
        <v>0</v>
      </c>
      <c r="I68" s="514"/>
    </row>
    <row r="69" spans="2:10" ht="15" customHeight="1" thickBot="1" x14ac:dyDescent="0.3">
      <c r="B69" s="175"/>
      <c r="C69" s="26"/>
      <c r="D69" s="538"/>
      <c r="E69" s="180" t="s">
        <v>547</v>
      </c>
      <c r="F69" s="534"/>
      <c r="G69" s="26"/>
      <c r="H69" s="533"/>
      <c r="I69" s="514"/>
    </row>
    <row r="70" spans="2:10" ht="15" customHeight="1" thickBot="1" x14ac:dyDescent="0.3">
      <c r="B70" s="175"/>
      <c r="C70" s="26"/>
      <c r="D70" s="538"/>
      <c r="E70" s="26" t="s">
        <v>546</v>
      </c>
      <c r="F70" s="534"/>
      <c r="G70" s="26"/>
      <c r="H70" s="591">
        <f>H64-H66-H68</f>
        <v>0</v>
      </c>
      <c r="I70" s="514"/>
    </row>
    <row r="71" spans="2:10" ht="15" customHeight="1" thickBot="1" x14ac:dyDescent="0.3">
      <c r="B71" s="175"/>
      <c r="C71" s="26"/>
      <c r="D71" s="538"/>
      <c r="E71" s="180" t="s">
        <v>645</v>
      </c>
      <c r="F71" s="534"/>
      <c r="G71" s="26"/>
      <c r="H71" s="533"/>
      <c r="I71" s="514"/>
    </row>
    <row r="72" spans="2:10" ht="15" customHeight="1" thickBot="1" x14ac:dyDescent="0.3">
      <c r="B72" s="175"/>
      <c r="C72" s="26"/>
      <c r="D72" s="538"/>
      <c r="E72" s="26" t="s">
        <v>548</v>
      </c>
      <c r="F72" s="534"/>
      <c r="G72" s="26"/>
      <c r="H72" s="592">
        <v>0</v>
      </c>
      <c r="I72" s="581" t="str">
        <f>IF(H72&gt;H70,"überschritten","")</f>
        <v/>
      </c>
      <c r="J72" s="2" t="str">
        <f>IF(I72&lt;&gt;"","!","")</f>
        <v/>
      </c>
    </row>
    <row r="73" spans="2:10" ht="15" customHeight="1" x14ac:dyDescent="0.25">
      <c r="B73" s="175"/>
      <c r="C73" s="26"/>
      <c r="D73" s="538"/>
      <c r="E73" s="180" t="s">
        <v>187</v>
      </c>
      <c r="F73" s="534"/>
      <c r="G73" s="26"/>
      <c r="H73" s="760" t="str">
        <f>IF(AND(H72&gt;0,'Öko-Regelungen'!I45="nein"),"Bitte beachten: Öko-Regelung 2 wurde nicht ausgewählt.","")</f>
        <v/>
      </c>
      <c r="I73" s="761"/>
    </row>
    <row r="74" spans="2:10" ht="15" customHeight="1" x14ac:dyDescent="0.25">
      <c r="B74" s="175"/>
      <c r="C74" s="26"/>
      <c r="D74" s="565"/>
      <c r="E74" s="180"/>
      <c r="F74" s="564"/>
      <c r="G74" s="26"/>
      <c r="H74" s="760"/>
      <c r="I74" s="761"/>
      <c r="J74" s="2" t="str">
        <f>IF(H73&lt;&gt;"","!","")</f>
        <v/>
      </c>
    </row>
    <row r="75" spans="2:10" ht="15" customHeight="1" x14ac:dyDescent="0.25">
      <c r="B75" s="175"/>
      <c r="C75" s="26"/>
      <c r="D75" s="538"/>
      <c r="E75" s="180"/>
      <c r="F75" s="534"/>
      <c r="G75" s="26"/>
      <c r="H75" s="533"/>
      <c r="I75" s="514"/>
    </row>
    <row r="76" spans="2:10" ht="15" customHeight="1" x14ac:dyDescent="0.25">
      <c r="B76" s="175"/>
      <c r="C76" s="26"/>
      <c r="D76" s="538"/>
      <c r="E76" s="534"/>
      <c r="F76" s="534"/>
      <c r="G76" s="26"/>
      <c r="H76" s="776" t="s">
        <v>549</v>
      </c>
      <c r="I76" s="754" t="s">
        <v>106</v>
      </c>
    </row>
    <row r="77" spans="2:10" ht="15" customHeight="1" thickBot="1" x14ac:dyDescent="0.3">
      <c r="B77" s="175"/>
      <c r="C77" s="26"/>
      <c r="D77" s="26"/>
      <c r="E77" s="542" t="s">
        <v>540</v>
      </c>
      <c r="F77" s="527"/>
      <c r="G77" s="26"/>
      <c r="H77" s="777"/>
      <c r="I77" s="755"/>
    </row>
    <row r="78" spans="2:10" ht="15" customHeight="1" thickBot="1" x14ac:dyDescent="0.3">
      <c r="B78" s="175"/>
      <c r="C78" s="26"/>
      <c r="D78" s="26"/>
      <c r="E78" s="537" t="s">
        <v>541</v>
      </c>
      <c r="F78" s="177">
        <f>IF($M$6="konventionell",HLOOKUP($M$12,Datengrundlage!$AE$42:$AJ$52,2,FALSE),IF($M$6="ökologisch",HLOOKUP($M$12,Datengrundlage!$AE$42:$AJ$52,3,FALSE),IF($M$6="bitte wählen",HLOOKUP($M$12,Datengrundlage!$AE$42:$AJ$52,2,FALSE))))</f>
        <v>65</v>
      </c>
      <c r="G78" s="537"/>
      <c r="H78" s="274" t="s">
        <v>99</v>
      </c>
      <c r="I78" s="102">
        <f>IF(H78="ja",$H$72*F78,0)</f>
        <v>0</v>
      </c>
    </row>
    <row r="79" spans="2:10" ht="15" customHeight="1" thickBot="1" x14ac:dyDescent="0.3">
      <c r="B79" s="175"/>
      <c r="C79" s="26"/>
      <c r="D79" s="26"/>
      <c r="E79" s="537" t="s">
        <v>542</v>
      </c>
      <c r="F79" s="177">
        <f>IF($M$6="konventionell",HLOOKUP($M$12,Datengrundlage!$AE$42:$AJ$52,4,FALSE),IF($M$6="ökologisch",HLOOKUP($M$12,Datengrundlage!$AE$42:$AJ$52,5,FALSE),IF($M$6="bitte wählen",HLOOKUP($M$12,Datengrundlage!$AE$42:$AJ$52,4,FALSE))))</f>
        <v>65</v>
      </c>
      <c r="G79" s="537"/>
      <c r="H79" s="274" t="s">
        <v>99</v>
      </c>
      <c r="I79" s="102">
        <f>IF(AND(H79="ja",F83=""),$H$72*F79,0)</f>
        <v>0</v>
      </c>
    </row>
    <row r="80" spans="2:10" ht="15" customHeight="1" thickBot="1" x14ac:dyDescent="0.3">
      <c r="B80" s="175"/>
      <c r="C80" s="26"/>
      <c r="D80" s="26"/>
      <c r="E80" s="537" t="s">
        <v>543</v>
      </c>
      <c r="F80" s="177">
        <f>IF($M$6="konventionell",HLOOKUP($M$12,Datengrundlage!$AE$42:$AJ$52,6,FALSE),IF($M$6="ökologisch",HLOOKUP($M$12,Datengrundlage!$AE$42:$AJ$52,7,FALSE),IF($M$6="bitte wählen",HLOOKUP($M$12,Datengrundlage!$AE$42:$AJ$52,6,FALSE))))</f>
        <v>65</v>
      </c>
      <c r="G80" s="537"/>
      <c r="H80" s="274" t="s">
        <v>99</v>
      </c>
      <c r="I80" s="102">
        <f t="shared" ref="I80" si="0">IF(H80="ja",$H$72*F80,0)</f>
        <v>0</v>
      </c>
    </row>
    <row r="81" spans="2:10" ht="15" customHeight="1" thickBot="1" x14ac:dyDescent="0.3">
      <c r="B81" s="175"/>
      <c r="C81" s="26"/>
      <c r="D81" s="538"/>
      <c r="E81" s="537" t="s">
        <v>544</v>
      </c>
      <c r="F81" s="177">
        <f>IF($M$6="konventionell",HLOOKUP($M$12,Datengrundlage!$AE$42:$AJ$52,8,FALSE),IF($M$6="ökologisch",HLOOKUP($M$12,Datengrundlage!$AE$42:$AJ$52,9,FALSE),IF($M$6="bitte wählen",HLOOKUP($M$12,Datengrundlage!$AE$42:$AJ$52,8,FALSE))))</f>
        <v>65</v>
      </c>
      <c r="G81" s="537"/>
      <c r="H81" s="192">
        <v>0</v>
      </c>
      <c r="I81" s="102">
        <f>IF(H81&lt;&gt;0,$H$81*F81,0)</f>
        <v>0</v>
      </c>
    </row>
    <row r="82" spans="2:10" ht="15" customHeight="1" thickBot="1" x14ac:dyDescent="0.3">
      <c r="B82" s="175"/>
      <c r="C82" s="26"/>
      <c r="D82" s="538"/>
      <c r="E82" s="537" t="s">
        <v>545</v>
      </c>
      <c r="F82" s="177">
        <f>IF($M$6="konventionell",HLOOKUP($M$12,Datengrundlage!$AE$42:$AJ$52,10,FALSE),IF($M$6="ökologisch",HLOOKUP($M$12,Datengrundlage!$AE$42:$AJ$52,11,FALSE),IF($M$6="bitte wählen",HLOOKUP($M$12,Datengrundlage!$AE$42:$AJ$52,10,FALSE))))</f>
        <v>65</v>
      </c>
      <c r="G82" s="537"/>
      <c r="H82" s="274" t="s">
        <v>99</v>
      </c>
      <c r="I82" s="102">
        <f>IF(AND(H82="ja",F83=""),$H$72*F82,0)</f>
        <v>0</v>
      </c>
    </row>
    <row r="83" spans="2:10" ht="15" customHeight="1" x14ac:dyDescent="0.25">
      <c r="B83" s="175"/>
      <c r="C83" s="26"/>
      <c r="D83" s="538"/>
      <c r="E83" s="537"/>
      <c r="F83" s="778" t="str">
        <f>IF(AND(H79="ja",H82="ja"),"Kombination von ABV B mit ABV E nicht möglich","")</f>
        <v/>
      </c>
      <c r="G83" s="778"/>
      <c r="H83" s="778"/>
      <c r="I83" s="779"/>
      <c r="J83" s="2" t="str">
        <f>IF(F83&lt;&gt;"","!","")</f>
        <v/>
      </c>
    </row>
    <row r="84" spans="2:10" ht="15" customHeight="1" x14ac:dyDescent="0.25">
      <c r="B84" s="175"/>
      <c r="C84" s="26"/>
      <c r="D84" s="26"/>
      <c r="E84" s="527"/>
      <c r="F84" s="537"/>
      <c r="G84" s="537"/>
      <c r="H84" s="537"/>
      <c r="I84" s="543"/>
    </row>
    <row r="85" spans="2:10" ht="15" customHeight="1" thickBot="1" x14ac:dyDescent="0.3">
      <c r="B85" s="175"/>
      <c r="C85" s="26"/>
      <c r="D85" s="271"/>
      <c r="E85" s="178" t="s">
        <v>503</v>
      </c>
      <c r="F85" s="537"/>
      <c r="G85" s="537"/>
      <c r="H85" s="537"/>
      <c r="I85" s="543"/>
    </row>
    <row r="86" spans="2:10" ht="15" customHeight="1" thickBot="1" x14ac:dyDescent="0.3">
      <c r="B86" s="175"/>
      <c r="C86" s="26"/>
      <c r="D86" s="271"/>
      <c r="E86" s="26" t="s">
        <v>550</v>
      </c>
      <c r="F86" s="537"/>
      <c r="G86" s="537"/>
      <c r="H86" s="133">
        <f>H100</f>
        <v>0</v>
      </c>
      <c r="I86" s="102">
        <f>IFERROR((($I$78+$I$79+$I$80+$I$82)/$H$72)*H86*-1,0)</f>
        <v>0</v>
      </c>
    </row>
    <row r="87" spans="2:10" ht="15" customHeight="1" thickBot="1" x14ac:dyDescent="0.3">
      <c r="B87" s="175"/>
      <c r="C87" s="26"/>
      <c r="D87" s="271"/>
      <c r="E87" s="180" t="s">
        <v>186</v>
      </c>
      <c r="F87" s="537"/>
      <c r="G87" s="537"/>
      <c r="H87" s="537"/>
      <c r="I87" s="543"/>
    </row>
    <row r="88" spans="2:10" ht="15" customHeight="1" thickBot="1" x14ac:dyDescent="0.3">
      <c r="B88" s="175"/>
      <c r="C88" s="26"/>
      <c r="D88" s="619"/>
      <c r="E88" s="14" t="s">
        <v>551</v>
      </c>
      <c r="F88" s="185"/>
      <c r="G88" s="185"/>
      <c r="H88" s="133">
        <f>H118</f>
        <v>0</v>
      </c>
      <c r="I88" s="102">
        <f>IFERROR((($I$78+$I$79+$I$80+$I$82)/$H$72)*H88*-1,0)</f>
        <v>0</v>
      </c>
    </row>
    <row r="89" spans="2:10" ht="15" customHeight="1" thickBot="1" x14ac:dyDescent="0.3">
      <c r="B89" s="175"/>
      <c r="C89" s="26"/>
      <c r="D89" s="619"/>
      <c r="E89" s="180" t="s">
        <v>186</v>
      </c>
      <c r="F89" s="185"/>
      <c r="G89" s="185"/>
      <c r="H89" s="537"/>
      <c r="I89" s="543"/>
    </row>
    <row r="90" spans="2:10" ht="15" customHeight="1" thickBot="1" x14ac:dyDescent="0.3">
      <c r="B90" s="175"/>
      <c r="C90" s="26"/>
      <c r="D90" s="619"/>
      <c r="E90" s="14" t="s">
        <v>552</v>
      </c>
      <c r="F90" s="185"/>
      <c r="G90" s="185"/>
      <c r="H90" s="133">
        <f>H134</f>
        <v>0</v>
      </c>
      <c r="I90" s="102">
        <f>IFERROR((($I$78+$I$79+$I$80+$I$82)/$H$72)*H90*-1,0)</f>
        <v>0</v>
      </c>
    </row>
    <row r="91" spans="2:10" ht="15" customHeight="1" thickBot="1" x14ac:dyDescent="0.3">
      <c r="B91" s="175"/>
      <c r="C91" s="26"/>
      <c r="D91" s="72"/>
      <c r="E91" s="180" t="s">
        <v>186</v>
      </c>
      <c r="F91" s="185"/>
      <c r="G91" s="185"/>
      <c r="H91" s="537"/>
      <c r="I91" s="543"/>
    </row>
    <row r="92" spans="2:10" ht="15" customHeight="1" thickBot="1" x14ac:dyDescent="0.3">
      <c r="B92" s="175"/>
      <c r="C92" s="26"/>
      <c r="D92" s="72"/>
      <c r="E92" s="14" t="s">
        <v>553</v>
      </c>
      <c r="F92" s="185"/>
      <c r="G92" s="185"/>
      <c r="H92" s="133">
        <f>H150</f>
        <v>0</v>
      </c>
      <c r="I92" s="102">
        <f>IFERROR((($I$78+$I$79+$I$80+$I$82)/$H$72)*H92*-1,0)</f>
        <v>0</v>
      </c>
    </row>
    <row r="93" spans="2:10" ht="15" customHeight="1" x14ac:dyDescent="0.25">
      <c r="B93" s="175"/>
      <c r="C93" s="26"/>
      <c r="D93" s="14"/>
      <c r="E93" s="180" t="s">
        <v>186</v>
      </c>
      <c r="F93" s="185"/>
      <c r="G93" s="185"/>
      <c r="H93" s="537"/>
      <c r="I93" s="543"/>
    </row>
    <row r="94" spans="2:10" ht="15" customHeight="1" thickBot="1" x14ac:dyDescent="0.3">
      <c r="B94" s="175"/>
      <c r="C94" s="26"/>
      <c r="D94" s="271"/>
      <c r="E94" s="527"/>
      <c r="F94" s="527"/>
      <c r="G94" s="26"/>
      <c r="H94" s="527"/>
      <c r="I94" s="544"/>
    </row>
    <row r="95" spans="2:10" ht="15" customHeight="1" x14ac:dyDescent="0.25">
      <c r="B95" s="541"/>
      <c r="C95" s="539"/>
      <c r="D95" s="539"/>
      <c r="E95" s="539"/>
      <c r="F95" s="539"/>
      <c r="G95" s="539"/>
      <c r="H95" s="539"/>
      <c r="I95" s="273"/>
    </row>
    <row r="96" spans="2:10" ht="15" customHeight="1" x14ac:dyDescent="0.25">
      <c r="B96" s="175"/>
      <c r="C96" s="26"/>
      <c r="D96" s="26"/>
      <c r="E96" s="26"/>
      <c r="F96" s="26"/>
      <c r="G96" s="26"/>
      <c r="H96" s="26"/>
      <c r="I96" s="176"/>
    </row>
    <row r="97" spans="2:16" ht="15" customHeight="1" x14ac:dyDescent="0.25">
      <c r="B97" s="175"/>
      <c r="C97" s="26"/>
      <c r="D97" s="776" t="s">
        <v>116</v>
      </c>
      <c r="E97" s="684" t="s">
        <v>117</v>
      </c>
      <c r="F97" s="684"/>
      <c r="G97" s="26"/>
      <c r="H97" s="26"/>
      <c r="I97" s="176"/>
    </row>
    <row r="98" spans="2:16" ht="15" customHeight="1" x14ac:dyDescent="0.25">
      <c r="B98" s="175"/>
      <c r="C98" s="26"/>
      <c r="D98" s="776"/>
      <c r="E98" s="684"/>
      <c r="F98" s="684"/>
      <c r="G98" s="26"/>
      <c r="H98" s="752" t="s">
        <v>94</v>
      </c>
      <c r="I98" s="754" t="s">
        <v>106</v>
      </c>
    </row>
    <row r="99" spans="2:16" ht="15" customHeight="1" thickBot="1" x14ac:dyDescent="0.3">
      <c r="B99" s="175"/>
      <c r="C99" s="26"/>
      <c r="D99" s="538"/>
      <c r="E99" s="534"/>
      <c r="F99" s="534"/>
      <c r="G99" s="26"/>
      <c r="H99" s="753"/>
      <c r="I99" s="755"/>
    </row>
    <row r="100" spans="2:16" ht="15" customHeight="1" thickBot="1" x14ac:dyDescent="0.3">
      <c r="B100" s="175"/>
      <c r="C100" s="26"/>
      <c r="D100" s="26"/>
      <c r="E100" s="537" t="s">
        <v>507</v>
      </c>
      <c r="F100" s="177">
        <f>HLOOKUP($M$12,Datengrundlage!AF58:AJ59,2,FALSE)</f>
        <v>750</v>
      </c>
      <c r="G100" s="26"/>
      <c r="H100" s="190">
        <v>0</v>
      </c>
      <c r="I100" s="102">
        <f>F100*H100</f>
        <v>0</v>
      </c>
    </row>
    <row r="101" spans="2:16" ht="15" customHeight="1" x14ac:dyDescent="0.25">
      <c r="B101" s="175"/>
      <c r="C101" s="26"/>
      <c r="D101" s="26"/>
      <c r="E101" s="26"/>
      <c r="F101" s="26"/>
      <c r="G101" s="26"/>
      <c r="H101" s="480" t="str">
        <f>IF(H100&gt;($F$10*0.1),"max. 10 % der AF überschritten!",IF(H100&gt;F10,"gesamte AF überschritten!",""))</f>
        <v/>
      </c>
      <c r="I101" s="176"/>
    </row>
    <row r="102" spans="2:16" ht="15" customHeight="1" thickBot="1" x14ac:dyDescent="0.3">
      <c r="B102" s="175"/>
      <c r="C102" s="26"/>
      <c r="D102" s="26"/>
      <c r="E102" s="178" t="s">
        <v>200</v>
      </c>
      <c r="F102" s="26"/>
      <c r="G102" s="26"/>
      <c r="H102" s="181"/>
      <c r="I102" s="176"/>
      <c r="L102" s="178"/>
      <c r="M102" s="26"/>
      <c r="O102" s="26"/>
      <c r="P102" s="26"/>
    </row>
    <row r="103" spans="2:16" ht="15" customHeight="1" thickBot="1" x14ac:dyDescent="0.3">
      <c r="B103" s="175"/>
      <c r="C103" s="26"/>
      <c r="D103" s="26"/>
      <c r="E103" s="26" t="s">
        <v>663</v>
      </c>
      <c r="F103" s="26"/>
      <c r="G103" s="26"/>
      <c r="H103" s="190">
        <v>0</v>
      </c>
      <c r="I103" s="102">
        <f>IFERROR(H103*('Öko-Regelungen'!$L$23/'Öko-Regelungen'!$K$23)*-1,0)</f>
        <v>0</v>
      </c>
      <c r="L103" s="26"/>
      <c r="M103" s="26"/>
      <c r="O103" s="272"/>
      <c r="P103" s="107"/>
    </row>
    <row r="104" spans="2:16" ht="15" customHeight="1" thickBot="1" x14ac:dyDescent="0.3">
      <c r="B104" s="175"/>
      <c r="C104" s="26"/>
      <c r="D104" s="26"/>
      <c r="E104" s="180" t="s">
        <v>490</v>
      </c>
      <c r="F104" s="26"/>
      <c r="G104" s="26"/>
      <c r="H104" s="181"/>
      <c r="I104" s="176"/>
      <c r="L104" s="179"/>
      <c r="M104" s="26"/>
      <c r="O104" s="26"/>
      <c r="P104" s="26"/>
    </row>
    <row r="105" spans="2:16" ht="15" customHeight="1" thickBot="1" x14ac:dyDescent="0.3">
      <c r="B105" s="175"/>
      <c r="C105" s="26"/>
      <c r="D105" s="26"/>
      <c r="E105" s="14" t="s">
        <v>118</v>
      </c>
      <c r="F105" s="26"/>
      <c r="G105" s="26"/>
      <c r="H105" s="190">
        <v>0</v>
      </c>
      <c r="I105" s="102">
        <f>H105*'Öko-Regelungen'!G28*(-1)</f>
        <v>0</v>
      </c>
      <c r="L105" s="26"/>
      <c r="M105" s="26"/>
      <c r="O105" s="272"/>
      <c r="P105" s="107"/>
    </row>
    <row r="106" spans="2:16" ht="15" customHeight="1" thickBot="1" x14ac:dyDescent="0.3">
      <c r="B106" s="175"/>
      <c r="C106" s="26"/>
      <c r="D106" s="26"/>
      <c r="E106" s="180" t="s">
        <v>490</v>
      </c>
      <c r="F106" s="26"/>
      <c r="G106" s="26"/>
      <c r="H106" s="181"/>
      <c r="I106" s="176"/>
      <c r="L106" s="179"/>
      <c r="M106" s="26"/>
      <c r="O106" s="181"/>
      <c r="P106" s="26"/>
    </row>
    <row r="107" spans="2:16" ht="15" customHeight="1" thickBot="1" x14ac:dyDescent="0.3">
      <c r="B107" s="175"/>
      <c r="C107" s="26"/>
      <c r="D107" s="26"/>
      <c r="E107" s="14" t="s">
        <v>119</v>
      </c>
      <c r="F107" s="26"/>
      <c r="G107" s="26"/>
      <c r="H107" s="477">
        <f>IF(AND(H100&gt;0,'Öko-Regelungen'!I$45="ja"),'HALM 2'!H100,0)</f>
        <v>0</v>
      </c>
      <c r="I107" s="102">
        <f>H107*'Öko-Regelungen'!J45*(-1)</f>
        <v>0</v>
      </c>
      <c r="L107" s="26"/>
      <c r="M107" s="26"/>
      <c r="O107" s="272"/>
      <c r="P107" s="107"/>
    </row>
    <row r="108" spans="2:16" ht="15" customHeight="1" thickBot="1" x14ac:dyDescent="0.3">
      <c r="B108" s="175"/>
      <c r="C108" s="26"/>
      <c r="D108" s="26"/>
      <c r="E108" s="180" t="s">
        <v>489</v>
      </c>
      <c r="F108" s="26"/>
      <c r="G108" s="26"/>
      <c r="H108" s="181"/>
      <c r="I108" s="176"/>
      <c r="L108" s="179"/>
      <c r="M108" s="26"/>
      <c r="O108" s="181"/>
      <c r="P108" s="26"/>
    </row>
    <row r="109" spans="2:16" ht="15" customHeight="1" thickBot="1" x14ac:dyDescent="0.3">
      <c r="B109" s="175"/>
      <c r="C109" s="26"/>
      <c r="D109" s="26"/>
      <c r="E109" s="14" t="s">
        <v>120</v>
      </c>
      <c r="F109" s="26"/>
      <c r="G109" s="26"/>
      <c r="H109" s="190">
        <v>0</v>
      </c>
      <c r="I109" s="102">
        <f>H109*'Öko-Regelungen'!E48*(-1)</f>
        <v>0</v>
      </c>
      <c r="O109" s="26"/>
      <c r="P109" s="26"/>
    </row>
    <row r="110" spans="2:16" ht="15" customHeight="1" thickBot="1" x14ac:dyDescent="0.3">
      <c r="B110" s="175"/>
      <c r="C110" s="26"/>
      <c r="D110" s="26"/>
      <c r="E110" s="180" t="s">
        <v>490</v>
      </c>
      <c r="F110" s="26"/>
      <c r="G110" s="26"/>
      <c r="H110" s="181"/>
      <c r="I110" s="176"/>
    </row>
    <row r="111" spans="2:16" ht="15" customHeight="1" thickBot="1" x14ac:dyDescent="0.3">
      <c r="B111" s="175"/>
      <c r="C111" s="26"/>
      <c r="D111" s="26"/>
      <c r="E111" s="14" t="s">
        <v>506</v>
      </c>
      <c r="F111" s="26"/>
      <c r="G111" s="26"/>
      <c r="H111" s="190">
        <v>0</v>
      </c>
      <c r="I111" s="102">
        <f>IFERROR(IF(H111&gt;0,H111*(SUM('Öko-Regelungen'!$L$62:$L$65)/SUM('Öko-Regelungen'!$K$62:$K$65)*(-1)),IF(SUM('Öko-Regelungen'!K62:K65)=0,0,0)),0)</f>
        <v>0</v>
      </c>
    </row>
    <row r="112" spans="2:16" ht="15" customHeight="1" x14ac:dyDescent="0.25">
      <c r="B112" s="175"/>
      <c r="C112" s="26"/>
      <c r="D112" s="26"/>
      <c r="E112" s="180" t="s">
        <v>490</v>
      </c>
      <c r="F112" s="26"/>
      <c r="G112" s="26"/>
      <c r="H112" s="26"/>
      <c r="I112" s="176"/>
    </row>
    <row r="113" spans="2:9" ht="15" customHeight="1" thickBot="1" x14ac:dyDescent="0.3">
      <c r="B113" s="540"/>
      <c r="C113" s="116"/>
      <c r="D113" s="116"/>
      <c r="E113" s="116"/>
      <c r="F113" s="116"/>
      <c r="G113" s="116"/>
      <c r="H113" s="116"/>
      <c r="I113" s="276"/>
    </row>
    <row r="114" spans="2:9" ht="15" customHeight="1" x14ac:dyDescent="0.25">
      <c r="B114" s="541"/>
      <c r="C114" s="539"/>
      <c r="D114" s="539"/>
      <c r="E114" s="539"/>
      <c r="F114" s="539"/>
      <c r="G114" s="539"/>
      <c r="H114" s="539"/>
      <c r="I114" s="273"/>
    </row>
    <row r="115" spans="2:9" ht="15" customHeight="1" x14ac:dyDescent="0.25">
      <c r="B115" s="175"/>
      <c r="C115" s="26"/>
      <c r="D115" s="776" t="s">
        <v>121</v>
      </c>
      <c r="E115" s="684" t="s">
        <v>122</v>
      </c>
      <c r="F115" s="684"/>
      <c r="G115" s="26"/>
      <c r="H115" s="26"/>
      <c r="I115" s="176"/>
    </row>
    <row r="116" spans="2:9" ht="15" customHeight="1" x14ac:dyDescent="0.25">
      <c r="B116" s="175"/>
      <c r="C116" s="26"/>
      <c r="D116" s="776"/>
      <c r="E116" s="684"/>
      <c r="F116" s="684"/>
      <c r="G116" s="26"/>
      <c r="H116" s="752" t="s">
        <v>94</v>
      </c>
      <c r="I116" s="754" t="s">
        <v>106</v>
      </c>
    </row>
    <row r="117" spans="2:9" ht="15" customHeight="1" thickBot="1" x14ac:dyDescent="0.3">
      <c r="B117" s="175"/>
      <c r="C117" s="26"/>
      <c r="D117" s="538"/>
      <c r="E117" s="534"/>
      <c r="F117" s="534"/>
      <c r="G117" s="26"/>
      <c r="H117" s="753"/>
      <c r="I117" s="755"/>
    </row>
    <row r="118" spans="2:9" ht="15" customHeight="1" thickBot="1" x14ac:dyDescent="0.3">
      <c r="B118" s="175"/>
      <c r="C118" s="26"/>
      <c r="D118" s="26"/>
      <c r="E118" s="537" t="s">
        <v>127</v>
      </c>
      <c r="F118" s="177">
        <f>HLOOKUP($M$12,Datengrundlage!AE61:AJ62,2,FALSE)</f>
        <v>700</v>
      </c>
      <c r="G118" s="26"/>
      <c r="H118" s="190">
        <v>0</v>
      </c>
      <c r="I118" s="102">
        <f>H118*F118</f>
        <v>0</v>
      </c>
    </row>
    <row r="119" spans="2:9" ht="15" customHeight="1" x14ac:dyDescent="0.25">
      <c r="B119" s="175"/>
      <c r="C119" s="26"/>
      <c r="D119" s="26"/>
      <c r="E119" s="26"/>
      <c r="F119" s="26"/>
      <c r="G119" s="26"/>
      <c r="H119" s="480" t="str">
        <f>IF(H118&gt;F10,"gesamte AF überschritten!","")</f>
        <v/>
      </c>
      <c r="I119" s="176"/>
    </row>
    <row r="120" spans="2:9" ht="15" customHeight="1" thickBot="1" x14ac:dyDescent="0.3">
      <c r="B120" s="175"/>
      <c r="C120" s="26"/>
      <c r="D120" s="26"/>
      <c r="E120" s="178" t="s">
        <v>200</v>
      </c>
      <c r="F120" s="26"/>
      <c r="G120" s="26"/>
      <c r="H120" s="181"/>
      <c r="I120" s="176"/>
    </row>
    <row r="121" spans="2:9" ht="15" customHeight="1" thickBot="1" x14ac:dyDescent="0.3">
      <c r="B121" s="175"/>
      <c r="C121" s="26"/>
      <c r="D121" s="26"/>
      <c r="E121" s="26" t="s">
        <v>663</v>
      </c>
      <c r="F121" s="26"/>
      <c r="G121" s="26"/>
      <c r="H121" s="190">
        <v>0</v>
      </c>
      <c r="I121" s="102">
        <f>IFERROR(H121*('Öko-Regelungen'!$L$23/'Öko-Regelungen'!$K$23)*-1,0)</f>
        <v>0</v>
      </c>
    </row>
    <row r="122" spans="2:9" ht="15" customHeight="1" thickBot="1" x14ac:dyDescent="0.3">
      <c r="B122" s="175"/>
      <c r="C122" s="26"/>
      <c r="D122" s="26"/>
      <c r="E122" s="180" t="s">
        <v>490</v>
      </c>
      <c r="F122" s="26"/>
      <c r="G122" s="26"/>
      <c r="H122" s="181"/>
      <c r="I122" s="176"/>
    </row>
    <row r="123" spans="2:9" ht="15" customHeight="1" thickBot="1" x14ac:dyDescent="0.3">
      <c r="B123" s="175"/>
      <c r="C123" s="26"/>
      <c r="D123" s="26"/>
      <c r="E123" s="14" t="s">
        <v>118</v>
      </c>
      <c r="F123" s="26"/>
      <c r="G123" s="26"/>
      <c r="H123" s="190">
        <v>0</v>
      </c>
      <c r="I123" s="102">
        <f>H123*'Öko-Regelungen'!G28*(-1)</f>
        <v>0</v>
      </c>
    </row>
    <row r="124" spans="2:9" ht="15" customHeight="1" thickBot="1" x14ac:dyDescent="0.3">
      <c r="B124" s="175"/>
      <c r="C124" s="26"/>
      <c r="D124" s="26"/>
      <c r="E124" s="180" t="s">
        <v>490</v>
      </c>
      <c r="F124" s="26"/>
      <c r="G124" s="26"/>
      <c r="H124" s="181"/>
      <c r="I124" s="176"/>
    </row>
    <row r="125" spans="2:9" ht="15" customHeight="1" thickBot="1" x14ac:dyDescent="0.3">
      <c r="B125" s="175"/>
      <c r="C125" s="26"/>
      <c r="D125" s="26"/>
      <c r="E125" s="14" t="s">
        <v>120</v>
      </c>
      <c r="F125" s="26"/>
      <c r="G125" s="26"/>
      <c r="H125" s="190">
        <v>0</v>
      </c>
      <c r="I125" s="102">
        <f>H125*'Öko-Regelungen'!E48*(-1)</f>
        <v>0</v>
      </c>
    </row>
    <row r="126" spans="2:9" ht="15" customHeight="1" thickBot="1" x14ac:dyDescent="0.3">
      <c r="B126" s="175"/>
      <c r="C126" s="26"/>
      <c r="D126" s="26"/>
      <c r="E126" s="180" t="s">
        <v>490</v>
      </c>
      <c r="F126" s="26"/>
      <c r="G126" s="26"/>
      <c r="H126" s="181"/>
      <c r="I126" s="176"/>
    </row>
    <row r="127" spans="2:9" ht="15" customHeight="1" thickBot="1" x14ac:dyDescent="0.3">
      <c r="B127" s="175"/>
      <c r="C127" s="26"/>
      <c r="D127" s="26"/>
      <c r="E127" s="14" t="s">
        <v>506</v>
      </c>
      <c r="F127" s="26"/>
      <c r="G127" s="26"/>
      <c r="H127" s="190">
        <v>0</v>
      </c>
      <c r="I127" s="102">
        <f>IFERROR(IF(H127&gt;0,H127*(SUM('Öko-Regelungen'!$L$62:$L$65)/SUM('Öko-Regelungen'!$K$62:$K$65)*(-1)),IF(SUM('Öko-Regelungen'!K79:K82)=0,0,0)),0)</f>
        <v>0</v>
      </c>
    </row>
    <row r="128" spans="2:9" ht="15" customHeight="1" x14ac:dyDescent="0.25">
      <c r="B128" s="175"/>
      <c r="C128" s="26"/>
      <c r="D128" s="26"/>
      <c r="E128" s="180" t="s">
        <v>490</v>
      </c>
      <c r="F128" s="26"/>
      <c r="G128" s="26"/>
      <c r="H128" s="26"/>
      <c r="I128" s="176"/>
    </row>
    <row r="129" spans="2:9" ht="15" customHeight="1" thickBot="1" x14ac:dyDescent="0.3">
      <c r="B129" s="540"/>
      <c r="C129" s="116"/>
      <c r="D129" s="116"/>
      <c r="E129" s="116"/>
      <c r="F129" s="116"/>
      <c r="G129" s="116"/>
      <c r="H129" s="116"/>
      <c r="I129" s="276"/>
    </row>
    <row r="130" spans="2:9" ht="15" customHeight="1" x14ac:dyDescent="0.25">
      <c r="B130" s="541"/>
      <c r="C130" s="539"/>
      <c r="D130" s="539"/>
      <c r="E130" s="539"/>
      <c r="F130" s="539"/>
      <c r="G130" s="539"/>
      <c r="H130" s="539"/>
      <c r="I130" s="273"/>
    </row>
    <row r="131" spans="2:9" ht="15" customHeight="1" x14ac:dyDescent="0.25">
      <c r="B131" s="175"/>
      <c r="C131" s="26"/>
      <c r="D131" s="776" t="s">
        <v>123</v>
      </c>
      <c r="E131" s="684" t="s">
        <v>124</v>
      </c>
      <c r="F131" s="684"/>
      <c r="G131" s="26"/>
      <c r="H131" s="26"/>
      <c r="I131" s="176"/>
    </row>
    <row r="132" spans="2:9" ht="15" customHeight="1" x14ac:dyDescent="0.25">
      <c r="B132" s="175"/>
      <c r="C132" s="26"/>
      <c r="D132" s="776"/>
      <c r="E132" s="684"/>
      <c r="F132" s="684"/>
      <c r="G132" s="26"/>
      <c r="H132" s="752" t="s">
        <v>94</v>
      </c>
      <c r="I132" s="754" t="s">
        <v>106</v>
      </c>
    </row>
    <row r="133" spans="2:9" ht="15" customHeight="1" thickBot="1" x14ac:dyDescent="0.3">
      <c r="B133" s="175"/>
      <c r="C133" s="26"/>
      <c r="D133" s="538"/>
      <c r="E133" s="534"/>
      <c r="F133" s="534"/>
      <c r="G133" s="26"/>
      <c r="H133" s="753"/>
      <c r="I133" s="755"/>
    </row>
    <row r="134" spans="2:9" ht="15" customHeight="1" thickBot="1" x14ac:dyDescent="0.3">
      <c r="B134" s="175"/>
      <c r="C134" s="26"/>
      <c r="D134" s="26"/>
      <c r="E134" s="537" t="s">
        <v>128</v>
      </c>
      <c r="F134" s="177">
        <f>HLOOKUP($M$12,Datengrundlage!AF64:AJ65,2,FALSE)</f>
        <v>800</v>
      </c>
      <c r="G134" s="26"/>
      <c r="H134" s="190">
        <v>0</v>
      </c>
      <c r="I134" s="102">
        <f>H134*F134</f>
        <v>0</v>
      </c>
    </row>
    <row r="135" spans="2:9" ht="15" customHeight="1" x14ac:dyDescent="0.25">
      <c r="B135" s="175"/>
      <c r="C135" s="26"/>
      <c r="D135" s="26"/>
      <c r="E135" s="26"/>
      <c r="F135" s="26"/>
      <c r="G135" s="26"/>
      <c r="H135" s="480" t="str">
        <f>IF(H134&gt;F10,"gesamte AF überschritten!","")</f>
        <v/>
      </c>
      <c r="I135" s="176"/>
    </row>
    <row r="136" spans="2:9" ht="15" customHeight="1" thickBot="1" x14ac:dyDescent="0.3">
      <c r="B136" s="175"/>
      <c r="C136" s="26"/>
      <c r="D136" s="26"/>
      <c r="E136" s="178" t="s">
        <v>200</v>
      </c>
      <c r="F136" s="26"/>
      <c r="G136" s="26"/>
      <c r="H136" s="181"/>
      <c r="I136" s="176"/>
    </row>
    <row r="137" spans="2:9" ht="15" customHeight="1" thickBot="1" x14ac:dyDescent="0.3">
      <c r="B137" s="175"/>
      <c r="C137" s="26"/>
      <c r="D137" s="26"/>
      <c r="E137" s="26" t="s">
        <v>663</v>
      </c>
      <c r="F137" s="26"/>
      <c r="G137" s="26"/>
      <c r="H137" s="190">
        <v>0</v>
      </c>
      <c r="I137" s="102">
        <f>IFERROR(H137*('Öko-Regelungen'!$L$23/'Öko-Regelungen'!$K$23)*-1,0)</f>
        <v>0</v>
      </c>
    </row>
    <row r="138" spans="2:9" ht="15" customHeight="1" thickBot="1" x14ac:dyDescent="0.3">
      <c r="B138" s="175"/>
      <c r="C138" s="26"/>
      <c r="D138" s="26"/>
      <c r="E138" s="180" t="s">
        <v>490</v>
      </c>
      <c r="F138" s="26"/>
      <c r="G138" s="26"/>
      <c r="H138" s="181"/>
      <c r="I138" s="176"/>
    </row>
    <row r="139" spans="2:9" ht="15" customHeight="1" thickBot="1" x14ac:dyDescent="0.3">
      <c r="B139" s="175"/>
      <c r="C139" s="26"/>
      <c r="D139" s="26"/>
      <c r="E139" s="14" t="s">
        <v>118</v>
      </c>
      <c r="F139" s="26"/>
      <c r="G139" s="26"/>
      <c r="H139" s="190">
        <v>0</v>
      </c>
      <c r="I139" s="102">
        <f>H139*'Öko-Regelungen'!G28*(-1)</f>
        <v>0</v>
      </c>
    </row>
    <row r="140" spans="2:9" ht="15" customHeight="1" thickBot="1" x14ac:dyDescent="0.3">
      <c r="B140" s="175"/>
      <c r="C140" s="26"/>
      <c r="D140" s="26"/>
      <c r="E140" s="180" t="s">
        <v>490</v>
      </c>
      <c r="F140" s="26"/>
      <c r="G140" s="26"/>
      <c r="H140" s="181"/>
      <c r="I140" s="176"/>
    </row>
    <row r="141" spans="2:9" ht="15" customHeight="1" thickBot="1" x14ac:dyDescent="0.3">
      <c r="B141" s="175"/>
      <c r="C141" s="26"/>
      <c r="D141" s="26"/>
      <c r="E141" s="14" t="s">
        <v>120</v>
      </c>
      <c r="F141" s="26"/>
      <c r="G141" s="26"/>
      <c r="H141" s="190">
        <v>0</v>
      </c>
      <c r="I141" s="102">
        <f>H141*'Öko-Regelungen'!E48*(-1)</f>
        <v>0</v>
      </c>
    </row>
    <row r="142" spans="2:9" ht="15" customHeight="1" thickBot="1" x14ac:dyDescent="0.3">
      <c r="B142" s="175"/>
      <c r="C142" s="26"/>
      <c r="D142" s="26"/>
      <c r="E142" s="180" t="s">
        <v>490</v>
      </c>
      <c r="F142" s="26"/>
      <c r="G142" s="26"/>
      <c r="H142" s="181"/>
      <c r="I142" s="176"/>
    </row>
    <row r="143" spans="2:9" ht="15" customHeight="1" thickBot="1" x14ac:dyDescent="0.3">
      <c r="B143" s="175"/>
      <c r="C143" s="26"/>
      <c r="D143" s="26"/>
      <c r="E143" s="14" t="s">
        <v>506</v>
      </c>
      <c r="F143" s="26"/>
      <c r="G143" s="26"/>
      <c r="H143" s="190">
        <v>0</v>
      </c>
      <c r="I143" s="102">
        <f>IFERROR(IF(H143&gt;0,H143*(SUM('Öko-Regelungen'!$L$62:$L$65)/SUM('Öko-Regelungen'!$K$62:$K$65)*(-1)),IF(SUM('Öko-Regelungen'!K102:K105)=0,0,0)),0)</f>
        <v>0</v>
      </c>
    </row>
    <row r="144" spans="2:9" ht="15" customHeight="1" x14ac:dyDescent="0.25">
      <c r="B144" s="175"/>
      <c r="C144" s="26"/>
      <c r="D144" s="26"/>
      <c r="E144" s="180" t="s">
        <v>490</v>
      </c>
      <c r="F144" s="26"/>
      <c r="G144" s="26"/>
      <c r="H144" s="26"/>
      <c r="I144" s="176"/>
    </row>
    <row r="145" spans="2:9" ht="15" customHeight="1" thickBot="1" x14ac:dyDescent="0.3">
      <c r="B145" s="540"/>
      <c r="C145" s="116"/>
      <c r="D145" s="116"/>
      <c r="E145" s="116"/>
      <c r="F145" s="116"/>
      <c r="G145" s="116"/>
      <c r="H145" s="116"/>
      <c r="I145" s="276"/>
    </row>
    <row r="146" spans="2:9" ht="15" customHeight="1" x14ac:dyDescent="0.25">
      <c r="B146" s="541"/>
      <c r="C146" s="539"/>
      <c r="D146" s="539"/>
      <c r="E146" s="539"/>
      <c r="F146" s="539"/>
      <c r="G146" s="539"/>
      <c r="H146" s="539"/>
      <c r="I146" s="273"/>
    </row>
    <row r="147" spans="2:9" ht="15" customHeight="1" x14ac:dyDescent="0.25">
      <c r="B147" s="175"/>
      <c r="C147" s="26"/>
      <c r="D147" s="776" t="s">
        <v>125</v>
      </c>
      <c r="E147" s="684" t="s">
        <v>126</v>
      </c>
      <c r="F147" s="684"/>
      <c r="G147" s="26"/>
      <c r="H147" s="26"/>
      <c r="I147" s="176"/>
    </row>
    <row r="148" spans="2:9" ht="15" customHeight="1" x14ac:dyDescent="0.25">
      <c r="B148" s="175"/>
      <c r="C148" s="26"/>
      <c r="D148" s="776"/>
      <c r="E148" s="684"/>
      <c r="F148" s="684"/>
      <c r="G148" s="26"/>
      <c r="H148" s="752" t="s">
        <v>94</v>
      </c>
      <c r="I148" s="758" t="s">
        <v>106</v>
      </c>
    </row>
    <row r="149" spans="2:9" ht="15" customHeight="1" thickBot="1" x14ac:dyDescent="0.3">
      <c r="B149" s="175"/>
      <c r="C149" s="26"/>
      <c r="D149" s="538"/>
      <c r="E149" s="534"/>
      <c r="F149" s="534"/>
      <c r="G149" s="26"/>
      <c r="H149" s="753"/>
      <c r="I149" s="759"/>
    </row>
    <row r="150" spans="2:9" ht="15" customHeight="1" thickBot="1" x14ac:dyDescent="0.3">
      <c r="B150" s="175"/>
      <c r="C150" s="26"/>
      <c r="D150" s="26"/>
      <c r="E150" s="537" t="s">
        <v>129</v>
      </c>
      <c r="F150" s="177">
        <f>HLOOKUP($M$12,Datengrundlage!AF67:AJ68,2,FALSE)</f>
        <v>400</v>
      </c>
      <c r="G150" s="26"/>
      <c r="H150" s="190">
        <v>0</v>
      </c>
      <c r="I150" s="102">
        <f>F150*H150</f>
        <v>0</v>
      </c>
    </row>
    <row r="151" spans="2:9" ht="15" customHeight="1" x14ac:dyDescent="0.25">
      <c r="B151" s="175"/>
      <c r="C151" s="26"/>
      <c r="D151" s="26"/>
      <c r="E151" s="26"/>
      <c r="F151" s="26"/>
      <c r="G151" s="26"/>
      <c r="H151" s="480" t="str">
        <f>IF(H150&gt;F10,"gesamte AF überschritten!","")</f>
        <v/>
      </c>
      <c r="I151" s="176"/>
    </row>
    <row r="152" spans="2:9" ht="15" customHeight="1" thickBot="1" x14ac:dyDescent="0.3">
      <c r="B152" s="175"/>
      <c r="C152" s="26"/>
      <c r="D152" s="26"/>
      <c r="E152" s="178" t="s">
        <v>200</v>
      </c>
      <c r="F152" s="26"/>
      <c r="G152" s="26"/>
      <c r="H152" s="181"/>
      <c r="I152" s="176"/>
    </row>
    <row r="153" spans="2:9" ht="15" customHeight="1" thickBot="1" x14ac:dyDescent="0.3">
      <c r="B153" s="175"/>
      <c r="C153" s="26"/>
      <c r="D153" s="26"/>
      <c r="E153" s="26" t="s">
        <v>663</v>
      </c>
      <c r="F153" s="26"/>
      <c r="G153" s="26"/>
      <c r="H153" s="190">
        <v>0</v>
      </c>
      <c r="I153" s="102">
        <f>IFERROR(H153*('Öko-Regelungen'!$L$23/'Öko-Regelungen'!$K$23)*-1,0)</f>
        <v>0</v>
      </c>
    </row>
    <row r="154" spans="2:9" ht="15" customHeight="1" thickBot="1" x14ac:dyDescent="0.3">
      <c r="B154" s="175"/>
      <c r="C154" s="26"/>
      <c r="D154" s="26"/>
      <c r="E154" s="180" t="s">
        <v>490</v>
      </c>
      <c r="F154" s="26"/>
      <c r="G154" s="26"/>
      <c r="H154" s="181"/>
      <c r="I154" s="176"/>
    </row>
    <row r="155" spans="2:9" ht="15" customHeight="1" thickBot="1" x14ac:dyDescent="0.3">
      <c r="B155" s="175"/>
      <c r="C155" s="26"/>
      <c r="D155" s="26"/>
      <c r="E155" s="14" t="s">
        <v>118</v>
      </c>
      <c r="F155" s="26"/>
      <c r="G155" s="26"/>
      <c r="H155" s="190">
        <v>0</v>
      </c>
      <c r="I155" s="102">
        <f>H155*'Öko-Regelungen'!G28*(-1)</f>
        <v>0</v>
      </c>
    </row>
    <row r="156" spans="2:9" ht="15" customHeight="1" thickBot="1" x14ac:dyDescent="0.3">
      <c r="B156" s="175"/>
      <c r="C156" s="26"/>
      <c r="D156" s="26"/>
      <c r="E156" s="180" t="s">
        <v>490</v>
      </c>
      <c r="F156" s="26"/>
      <c r="G156" s="26"/>
      <c r="H156" s="181"/>
      <c r="I156" s="176"/>
    </row>
    <row r="157" spans="2:9" ht="15" customHeight="1" thickBot="1" x14ac:dyDescent="0.3">
      <c r="B157" s="175"/>
      <c r="C157" s="26"/>
      <c r="D157" s="26"/>
      <c r="E157" s="14" t="s">
        <v>120</v>
      </c>
      <c r="F157" s="26"/>
      <c r="G157" s="26"/>
      <c r="H157" s="190">
        <v>0</v>
      </c>
      <c r="I157" s="102">
        <f>H157*'Öko-Regelungen'!E48*(-1)</f>
        <v>0</v>
      </c>
    </row>
    <row r="158" spans="2:9" ht="15" customHeight="1" thickBot="1" x14ac:dyDescent="0.3">
      <c r="B158" s="175"/>
      <c r="C158" s="26"/>
      <c r="D158" s="26"/>
      <c r="E158" s="180" t="s">
        <v>490</v>
      </c>
      <c r="F158" s="26"/>
      <c r="G158" s="26"/>
      <c r="H158" s="181"/>
      <c r="I158" s="176"/>
    </row>
    <row r="159" spans="2:9" ht="15" customHeight="1" thickBot="1" x14ac:dyDescent="0.3">
      <c r="B159" s="175"/>
      <c r="C159" s="26"/>
      <c r="D159" s="26"/>
      <c r="E159" s="14" t="s">
        <v>506</v>
      </c>
      <c r="F159" s="26"/>
      <c r="G159" s="26"/>
      <c r="H159" s="190">
        <v>0</v>
      </c>
      <c r="I159" s="102">
        <f>IFERROR(IF(H159&gt;0,H159*(SUM('Öko-Regelungen'!$L$62:$L$65)/SUM('Öko-Regelungen'!$K$62:$K$65)*(-1)),IF(SUM('Öko-Regelungen'!K119:K122)=0,0,0)),0)</f>
        <v>0</v>
      </c>
    </row>
    <row r="160" spans="2:9" ht="15" customHeight="1" x14ac:dyDescent="0.25">
      <c r="B160" s="175"/>
      <c r="C160" s="26"/>
      <c r="D160" s="26"/>
      <c r="E160" s="180" t="s">
        <v>490</v>
      </c>
      <c r="F160" s="26"/>
      <c r="G160" s="26"/>
      <c r="H160" s="26"/>
      <c r="I160" s="176"/>
    </row>
    <row r="161" spans="2:15" ht="15" customHeight="1" thickBot="1" x14ac:dyDescent="0.3">
      <c r="B161" s="540"/>
      <c r="C161" s="116"/>
      <c r="D161" s="116"/>
      <c r="E161" s="116"/>
      <c r="F161" s="116"/>
      <c r="G161" s="116"/>
      <c r="H161" s="116"/>
      <c r="I161" s="276"/>
    </row>
    <row r="162" spans="2:15" ht="15" customHeight="1" x14ac:dyDescent="0.25">
      <c r="B162" s="541"/>
      <c r="C162" s="539"/>
      <c r="D162" s="539"/>
      <c r="E162" s="539"/>
      <c r="F162" s="539"/>
      <c r="G162" s="539"/>
      <c r="H162" s="539"/>
      <c r="I162" s="273"/>
    </row>
    <row r="163" spans="2:15" ht="15" customHeight="1" x14ac:dyDescent="0.25">
      <c r="B163" s="175"/>
      <c r="C163" s="780" t="s">
        <v>132</v>
      </c>
      <c r="D163" s="784" t="s">
        <v>133</v>
      </c>
      <c r="E163" s="784"/>
      <c r="F163" s="784"/>
      <c r="G163" s="26"/>
      <c r="H163" s="182"/>
      <c r="I163" s="278"/>
    </row>
    <row r="164" spans="2:15" ht="15.6" customHeight="1" thickBot="1" x14ac:dyDescent="0.3">
      <c r="B164" s="553"/>
      <c r="C164" s="781"/>
      <c r="D164" s="785"/>
      <c r="E164" s="785"/>
      <c r="F164" s="785"/>
      <c r="G164" s="149"/>
      <c r="H164" s="556"/>
      <c r="I164" s="555"/>
    </row>
    <row r="165" spans="2:15" ht="15" customHeight="1" x14ac:dyDescent="0.25">
      <c r="B165" s="541"/>
      <c r="C165" s="539"/>
      <c r="D165" s="539"/>
      <c r="E165" s="539"/>
      <c r="F165" s="539"/>
      <c r="G165" s="539"/>
      <c r="H165" s="539"/>
      <c r="I165" s="273"/>
      <c r="L165" s="181"/>
      <c r="M165" s="26"/>
      <c r="N165" s="26"/>
      <c r="O165" s="26"/>
    </row>
    <row r="166" spans="2:15" ht="15" customHeight="1" x14ac:dyDescent="0.25">
      <c r="B166" s="175"/>
      <c r="C166" s="26"/>
      <c r="D166" s="776" t="s">
        <v>134</v>
      </c>
      <c r="E166" s="684" t="s">
        <v>629</v>
      </c>
      <c r="F166" s="684"/>
      <c r="G166" s="26"/>
      <c r="H166" s="26"/>
      <c r="I166" s="176"/>
      <c r="L166" s="26"/>
      <c r="M166" s="26"/>
      <c r="N166" s="26"/>
      <c r="O166" s="26"/>
    </row>
    <row r="167" spans="2:15" ht="15" customHeight="1" x14ac:dyDescent="0.25">
      <c r="B167" s="175"/>
      <c r="C167" s="26"/>
      <c r="D167" s="776"/>
      <c r="E167" s="684"/>
      <c r="F167" s="684"/>
      <c r="G167" s="26"/>
      <c r="H167" s="104"/>
      <c r="I167" s="278"/>
      <c r="L167" s="26"/>
      <c r="M167" s="26"/>
      <c r="N167" s="26"/>
      <c r="O167" s="26"/>
    </row>
    <row r="168" spans="2:15" ht="15" customHeight="1" x14ac:dyDescent="0.25">
      <c r="B168" s="175"/>
      <c r="C168" s="26"/>
      <c r="D168" s="538"/>
      <c r="E168" s="180" t="s">
        <v>631</v>
      </c>
      <c r="F168" s="534"/>
      <c r="G168" s="26"/>
      <c r="H168" s="104"/>
      <c r="I168" s="278"/>
      <c r="L168" s="26"/>
      <c r="M168" s="26"/>
      <c r="N168" s="26"/>
      <c r="O168" s="26"/>
    </row>
    <row r="169" spans="2:15" ht="15" customHeight="1" x14ac:dyDescent="0.25">
      <c r="B169" s="175"/>
      <c r="C169" s="26"/>
      <c r="D169" s="26"/>
      <c r="E169" s="26"/>
      <c r="F169" s="26"/>
      <c r="G169" s="26"/>
      <c r="H169" s="26"/>
      <c r="I169" s="176"/>
      <c r="J169" s="573"/>
      <c r="K169" s="26"/>
    </row>
    <row r="170" spans="2:15" ht="15" customHeight="1" x14ac:dyDescent="0.25">
      <c r="B170" s="175"/>
      <c r="C170" s="26"/>
      <c r="D170" s="26"/>
      <c r="E170" s="542" t="s">
        <v>592</v>
      </c>
      <c r="F170" s="26"/>
      <c r="G170" s="26"/>
      <c r="H170" s="26"/>
      <c r="I170" s="176"/>
      <c r="J170" s="574"/>
      <c r="K170" s="26"/>
    </row>
    <row r="171" spans="2:15" ht="15" customHeight="1" x14ac:dyDescent="0.25">
      <c r="B171" s="175"/>
      <c r="C171" s="26"/>
      <c r="D171" s="26"/>
      <c r="E171" s="773" t="s">
        <v>632</v>
      </c>
      <c r="F171" s="773"/>
      <c r="G171" s="773"/>
      <c r="H171" s="687" t="s">
        <v>94</v>
      </c>
      <c r="I171" s="758" t="s">
        <v>106</v>
      </c>
      <c r="J171" s="570"/>
      <c r="K171" s="26"/>
    </row>
    <row r="172" spans="2:15" ht="15" customHeight="1" thickBot="1" x14ac:dyDescent="0.3">
      <c r="B172" s="175"/>
      <c r="C172" s="26"/>
      <c r="D172" s="26"/>
      <c r="E172" s="14"/>
      <c r="F172" s="14"/>
      <c r="G172" s="14"/>
      <c r="H172" s="767"/>
      <c r="I172" s="759"/>
      <c r="J172" s="570"/>
      <c r="K172" s="26"/>
    </row>
    <row r="173" spans="2:15" ht="15" customHeight="1" thickBot="1" x14ac:dyDescent="0.3">
      <c r="B173" s="175"/>
      <c r="C173" s="26"/>
      <c r="D173" s="771" t="s">
        <v>38</v>
      </c>
      <c r="E173" s="772"/>
      <c r="F173" s="177">
        <f>IF(D173="A Düngeverzicht",HLOOKUP('HALM 2'!M12,Datengrundlage!AF73:AJ78,2,FALSE),IF(D173="B Festmistdüngung",HLOOKUP('HALM 2'!M12,Datengrundlage!AF73:AJ78,3,FALSE),IF(D173="C Erhaltungsdüngung",HLOOKUP('HALM 2'!M12,Datengrundlage!AF73:AJ78,4,FALSE),IF(D173="D Düngeverzicht öko",HLOOKUP('HALM 2'!M12,Datengrundlage!AF73:AJ78,5,FALSE),IF(D173="E Festmistdüngung öko",HLOOKUP('HALM 2'!M12,Datengrundlage!AF73:AJ78,6,FALSE),IF(D173="D.1 Altverpflichtung 2023",HLOOKUP('HALM 2'!M12,Datengrundlage!AE70:AJ71,2,FALSE),0))))))</f>
        <v>0</v>
      </c>
      <c r="G173" s="26"/>
      <c r="H173" s="190">
        <v>0</v>
      </c>
      <c r="I173" s="102">
        <f>IF(E182="",F173*H173,0)</f>
        <v>0</v>
      </c>
      <c r="J173" s="570" t="str">
        <f>IF(OR(D173="A Düngeverzicht",D173="B Festmistdüngung",D173="C Erhaltungsdüngung",D173="D.1 Altverpflichtung 2023"),"konv",IF(OR(D173="E Festmistdüngung öko",D173="D Düngeverzicht öko"),"öko",""))</f>
        <v/>
      </c>
      <c r="K173" s="26"/>
    </row>
    <row r="174" spans="2:15" ht="15" customHeight="1" thickBot="1" x14ac:dyDescent="0.3">
      <c r="B174" s="175"/>
      <c r="C174" s="26"/>
      <c r="D174" s="771" t="s">
        <v>38</v>
      </c>
      <c r="E174" s="772"/>
      <c r="F174" s="177">
        <f>IF(D174="A Düngeverzicht",HLOOKUP('HALM 2'!M12,Datengrundlage!AF73:AJ78,2,FALSE),IF(D174="B Festmistdüngung",HLOOKUP('HALM 2'!M12,Datengrundlage!AF73:AJ78,3,FALSE),IF(D174="C Erhaltungsdüngung",HLOOKUP('HALM 2'!M12,Datengrundlage!AF73:AJ78,4,FALSE),IF(D174="D Düngeverzicht öko",HLOOKUP('HALM 2'!M12,Datengrundlage!AF73:AJ78,5,FALSE),IF(D174="E Festmistdüngung öko",HLOOKUP('HALM 2'!M12,Datengrundlage!AF73:AJ78,6,FALSE),IF(D174="D.1 Altverpflichtung 2023",HLOOKUP('HALM 2'!M12,Datengrundlage!AE70:AJ71,2,FALSE),0))))))</f>
        <v>0</v>
      </c>
      <c r="G174" s="26"/>
      <c r="H174" s="190">
        <v>0</v>
      </c>
      <c r="I174" s="102">
        <f>IF(E182="",F174*H174,0)</f>
        <v>0</v>
      </c>
      <c r="J174" s="570" t="str">
        <f t="shared" ref="J174:J176" si="1">IF(OR(D174="A Düngeverzicht",D174="B Festmistdüngung",D174="C Erhaltungsdüngung",D174="D.1 Altverpflichtung 2023"),"konv",IF(OR(D174="E Festmistdüngung öko",D174="D Düngeverzicht öko"),"öko",""))</f>
        <v/>
      </c>
      <c r="K174" s="26"/>
    </row>
    <row r="175" spans="2:15" ht="15" customHeight="1" thickBot="1" x14ac:dyDescent="0.3">
      <c r="B175" s="175"/>
      <c r="C175" s="26"/>
      <c r="D175" s="771" t="s">
        <v>38</v>
      </c>
      <c r="E175" s="772"/>
      <c r="F175" s="177">
        <f>IF(D175="A Düngeverzicht",HLOOKUP('HALM 2'!M12,Datengrundlage!AF73:AJ78,2,FALSE),IF(D175="B Festmistdüngung",HLOOKUP('HALM 2'!M12,Datengrundlage!AF73:AJ78,3,FALSE),IF(D175="C Erhaltungsdüngung",HLOOKUP('HALM 2'!M12,Datengrundlage!AF73:AJ78,4,FALSE),IF(D175="D Düngeverzicht öko",HLOOKUP('HALM 2'!M12,Datengrundlage!AF73:AJ78,5,FALSE),IF(D175="E Festmistdüngung öko",HLOOKUP('HALM 2'!M12,Datengrundlage!AF73:AJ78,6,FALSE),IF(D175="D.1 Altverpflichtung 2023",HLOOKUP('HALM 2'!M12,Datengrundlage!AE70:AJ71,2,FALSE),0))))))</f>
        <v>0</v>
      </c>
      <c r="G175" s="26"/>
      <c r="H175" s="190">
        <v>0</v>
      </c>
      <c r="I175" s="102">
        <f>IF(E182="",F175*H175,0)</f>
        <v>0</v>
      </c>
      <c r="J175" s="570" t="str">
        <f t="shared" si="1"/>
        <v/>
      </c>
      <c r="K175" s="26"/>
    </row>
    <row r="176" spans="2:15" ht="15" customHeight="1" thickBot="1" x14ac:dyDescent="0.3">
      <c r="B176" s="175"/>
      <c r="C176" s="26"/>
      <c r="D176" s="771" t="s">
        <v>38</v>
      </c>
      <c r="E176" s="772"/>
      <c r="F176" s="177">
        <f>IF(D176="A Düngeverzicht",HLOOKUP('HALM 2'!M12,Datengrundlage!AF73:AJ78,2,FALSE),IF(D176="B Festmistdüngung",HLOOKUP('HALM 2'!M12,Datengrundlage!AF73:AJ78,3,FALSE),IF(D176="C Erhaltungsdüngung",HLOOKUP('HALM 2'!M12,Datengrundlage!AF73:AJ78,4,FALSE),IF(D176="D Düngeverzicht öko",HLOOKUP('HALM 2'!M12,Datengrundlage!AF73:AJ78,5,FALSE),IF(D176="E Festmistdüngung öko",HLOOKUP('HALM 2'!M12,Datengrundlage!AF73:AJ78,6,FALSE),IF(D176="D.1 Altverpflichtung 2023",HLOOKUP('HALM 2'!M12,Datengrundlage!AE70:AJ71,2,FALSE),0))))))</f>
        <v>0</v>
      </c>
      <c r="G176" s="26"/>
      <c r="H176" s="190">
        <v>0</v>
      </c>
      <c r="I176" s="102">
        <f>IF(E182="",F176*H176,0)</f>
        <v>0</v>
      </c>
      <c r="J176" s="570" t="str">
        <f t="shared" si="1"/>
        <v/>
      </c>
      <c r="K176" s="26"/>
    </row>
    <row r="177" spans="2:10" ht="15" customHeight="1" thickBot="1" x14ac:dyDescent="0.3">
      <c r="B177" s="175"/>
      <c r="C177" s="26"/>
      <c r="D177" s="14"/>
      <c r="E177" s="180"/>
      <c r="F177" s="14"/>
      <c r="G177" s="14"/>
      <c r="H177" s="480" t="str">
        <f>IF(SUM(H173:H176)&gt;$F$12,"gesamtes DGL überschritten!","")</f>
        <v/>
      </c>
      <c r="I177" s="545"/>
      <c r="J177" s="570" t="str">
        <f>IF(H177&lt;&gt;"","!","")</f>
        <v/>
      </c>
    </row>
    <row r="178" spans="2:10" ht="15" customHeight="1" thickBot="1" x14ac:dyDescent="0.3">
      <c r="B178" s="175"/>
      <c r="C178" s="26"/>
      <c r="D178" s="14"/>
      <c r="E178" s="26" t="s">
        <v>191</v>
      </c>
      <c r="F178" s="26"/>
      <c r="G178" s="26"/>
      <c r="H178" s="768" t="str">
        <f>IF(SUM($H$23:$H$26)&gt;0,"ja","nein")</f>
        <v>nein</v>
      </c>
      <c r="I178" s="769"/>
    </row>
    <row r="179" spans="2:10" ht="15" customHeight="1" x14ac:dyDescent="0.25">
      <c r="B179" s="175"/>
      <c r="C179" s="26"/>
      <c r="D179" s="14"/>
      <c r="E179" s="183" t="s">
        <v>625</v>
      </c>
      <c r="F179" s="26"/>
      <c r="G179" s="762"/>
      <c r="H179" s="762"/>
      <c r="I179" s="789"/>
    </row>
    <row r="180" spans="2:10" ht="15" customHeight="1" x14ac:dyDescent="0.25">
      <c r="B180" s="175"/>
      <c r="C180" s="26"/>
      <c r="D180" s="14"/>
      <c r="E180" s="14"/>
      <c r="F180" s="14"/>
      <c r="G180" s="762"/>
      <c r="H180" s="762"/>
      <c r="I180" s="789"/>
      <c r="J180" s="2" t="str">
        <f>IF(G179&lt;&gt;"","!","")</f>
        <v/>
      </c>
    </row>
    <row r="181" spans="2:10" ht="15" customHeight="1" x14ac:dyDescent="0.25">
      <c r="B181" s="175"/>
      <c r="C181" s="26"/>
      <c r="D181" s="14"/>
      <c r="E181" s="14"/>
      <c r="F181" s="14"/>
      <c r="G181" s="536"/>
      <c r="H181" s="536"/>
      <c r="I181" s="546"/>
    </row>
    <row r="182" spans="2:10" ht="15" customHeight="1" x14ac:dyDescent="0.25">
      <c r="B182" s="175"/>
      <c r="C182" s="26"/>
      <c r="D182" s="14"/>
      <c r="E182" s="762" t="str">
        <f>IF(AND(H178="ja",COUNTIF(J173:J176,"konv")&gt;=1),"Die Förderverfahren A-C und die D.1 Altverpflichtung sind für Öko-Betriebe nicht möglich.",IF(AND(H178="nein",COUNTIF(J173:J176,"öko")&gt;=1),"Die Förderverfahren D und E sind für konventionelle Betrieb nicht möglich.",""))</f>
        <v/>
      </c>
      <c r="F182" s="762"/>
      <c r="G182" s="762"/>
      <c r="H182" s="762"/>
      <c r="I182" s="547"/>
      <c r="J182" s="2" t="str">
        <f>IF(E182&lt;&gt;"","!","")</f>
        <v/>
      </c>
    </row>
    <row r="183" spans="2:10" ht="15" customHeight="1" x14ac:dyDescent="0.25">
      <c r="B183" s="175"/>
      <c r="C183" s="26"/>
      <c r="D183" s="14"/>
      <c r="E183" s="762"/>
      <c r="F183" s="762"/>
      <c r="G183" s="762"/>
      <c r="H183" s="762"/>
      <c r="I183" s="547"/>
    </row>
    <row r="184" spans="2:10" ht="15" customHeight="1" thickBot="1" x14ac:dyDescent="0.3">
      <c r="B184" s="540"/>
      <c r="C184" s="116"/>
      <c r="D184" s="116"/>
      <c r="E184" s="116"/>
      <c r="F184" s="116"/>
      <c r="G184" s="116"/>
      <c r="H184" s="116"/>
      <c r="I184" s="276"/>
    </row>
    <row r="185" spans="2:10" ht="15" customHeight="1" x14ac:dyDescent="0.25">
      <c r="B185" s="541"/>
      <c r="C185" s="539"/>
      <c r="D185" s="539"/>
      <c r="E185" s="539"/>
      <c r="F185" s="539"/>
      <c r="G185" s="539"/>
      <c r="H185" s="539"/>
      <c r="I185" s="273"/>
    </row>
    <row r="186" spans="2:10" ht="15" customHeight="1" x14ac:dyDescent="0.25">
      <c r="B186" s="175"/>
      <c r="C186" s="776" t="s">
        <v>135</v>
      </c>
      <c r="D186" s="684" t="s">
        <v>136</v>
      </c>
      <c r="E186" s="684"/>
      <c r="F186" s="684"/>
      <c r="G186" s="26"/>
      <c r="H186" s="182"/>
      <c r="I186" s="278"/>
    </row>
    <row r="187" spans="2:10" ht="15" customHeight="1" x14ac:dyDescent="0.25">
      <c r="B187" s="553"/>
      <c r="C187" s="796"/>
      <c r="D187" s="797"/>
      <c r="E187" s="797"/>
      <c r="F187" s="797"/>
      <c r="G187" s="149"/>
      <c r="H187" s="556"/>
      <c r="I187" s="555"/>
    </row>
    <row r="188" spans="2:10" ht="15" customHeight="1" x14ac:dyDescent="0.25">
      <c r="B188" s="175"/>
      <c r="C188" s="26"/>
      <c r="D188" s="538"/>
      <c r="E188" s="182"/>
      <c r="F188" s="182"/>
      <c r="G188" s="26"/>
      <c r="H188" s="182"/>
      <c r="I188" s="278"/>
    </row>
    <row r="189" spans="2:10" ht="15" customHeight="1" x14ac:dyDescent="0.25">
      <c r="B189" s="175"/>
      <c r="C189" s="26"/>
      <c r="D189" s="776" t="s">
        <v>137</v>
      </c>
      <c r="E189" s="684" t="s">
        <v>138</v>
      </c>
      <c r="F189" s="684"/>
      <c r="G189" s="26"/>
      <c r="H189" s="182"/>
      <c r="I189" s="514"/>
    </row>
    <row r="190" spans="2:10" ht="15" customHeight="1" x14ac:dyDescent="0.25">
      <c r="B190" s="175"/>
      <c r="C190" s="26"/>
      <c r="D190" s="776"/>
      <c r="E190" s="684"/>
      <c r="F190" s="684"/>
      <c r="G190" s="26"/>
      <c r="H190" s="182"/>
      <c r="I190" s="514"/>
    </row>
    <row r="191" spans="2:10" ht="15" customHeight="1" x14ac:dyDescent="0.25">
      <c r="B191" s="175"/>
      <c r="C191" s="26"/>
      <c r="D191" s="538"/>
      <c r="E191" s="534"/>
      <c r="F191" s="534"/>
      <c r="G191" s="26"/>
      <c r="H191" s="533"/>
      <c r="I191" s="514"/>
    </row>
    <row r="192" spans="2:10" ht="15" customHeight="1" x14ac:dyDescent="0.25">
      <c r="B192" s="175"/>
      <c r="C192" s="26"/>
      <c r="D192" s="538" t="s">
        <v>139</v>
      </c>
      <c r="E192" s="534" t="s">
        <v>140</v>
      </c>
      <c r="F192" s="534"/>
      <c r="G192" s="26"/>
      <c r="H192" s="756" t="s">
        <v>214</v>
      </c>
      <c r="I192" s="754" t="s">
        <v>106</v>
      </c>
    </row>
    <row r="193" spans="2:9" ht="15" customHeight="1" thickBot="1" x14ac:dyDescent="0.3">
      <c r="B193" s="175"/>
      <c r="C193" s="26"/>
      <c r="D193" s="538"/>
      <c r="E193" s="534"/>
      <c r="F193" s="534"/>
      <c r="G193" s="26"/>
      <c r="H193" s="757"/>
      <c r="I193" s="755"/>
    </row>
    <row r="194" spans="2:9" ht="15" customHeight="1" thickBot="1" x14ac:dyDescent="0.3">
      <c r="B194" s="175"/>
      <c r="C194" s="26"/>
      <c r="D194" s="26"/>
      <c r="E194" s="537" t="s">
        <v>141</v>
      </c>
      <c r="F194" s="184">
        <f>HLOOKUP($M$12,Datengrundlage!AF81:AJ83,2,FALSE)</f>
        <v>9</v>
      </c>
      <c r="G194" s="26"/>
      <c r="H194" s="191">
        <v>0</v>
      </c>
      <c r="I194" s="102">
        <f>F194*H194</f>
        <v>0</v>
      </c>
    </row>
    <row r="195" spans="2:9" ht="15" customHeight="1" x14ac:dyDescent="0.25">
      <c r="B195" s="175"/>
      <c r="C195" s="26"/>
      <c r="D195" s="26"/>
      <c r="E195" s="26"/>
      <c r="F195" s="26"/>
      <c r="G195" s="26"/>
      <c r="H195" s="26"/>
      <c r="I195" s="176"/>
    </row>
    <row r="196" spans="2:9" ht="15" customHeight="1" x14ac:dyDescent="0.25">
      <c r="B196" s="175"/>
      <c r="C196" s="26"/>
      <c r="D196" s="122" t="s">
        <v>139</v>
      </c>
      <c r="E196" s="182" t="s">
        <v>142</v>
      </c>
      <c r="F196" s="182"/>
      <c r="G196" s="26"/>
      <c r="H196" s="756" t="s">
        <v>214</v>
      </c>
      <c r="I196" s="754" t="s">
        <v>106</v>
      </c>
    </row>
    <row r="197" spans="2:9" ht="15" customHeight="1" thickBot="1" x14ac:dyDescent="0.3">
      <c r="B197" s="548"/>
      <c r="C197" s="14"/>
      <c r="D197" s="122"/>
      <c r="E197" s="182"/>
      <c r="F197" s="182"/>
      <c r="G197" s="26"/>
      <c r="H197" s="757"/>
      <c r="I197" s="755"/>
    </row>
    <row r="198" spans="2:9" ht="15" customHeight="1" thickBot="1" x14ac:dyDescent="0.3">
      <c r="B198" s="175"/>
      <c r="C198" s="26"/>
      <c r="D198" s="26"/>
      <c r="E198" s="537" t="s">
        <v>143</v>
      </c>
      <c r="F198" s="184">
        <f>HLOOKUP($M$12,Datengrundlage!AF81:AJ83,3,FALSE)</f>
        <v>90</v>
      </c>
      <c r="G198" s="26"/>
      <c r="H198" s="191">
        <v>0</v>
      </c>
      <c r="I198" s="102">
        <f>H198*F198</f>
        <v>0</v>
      </c>
    </row>
    <row r="199" spans="2:9" ht="15" customHeight="1" thickBot="1" x14ac:dyDescent="0.3">
      <c r="B199" s="175"/>
      <c r="C199" s="26"/>
      <c r="D199" s="26"/>
      <c r="E199" s="537" t="s">
        <v>513</v>
      </c>
      <c r="F199" s="184">
        <f>HLOOKUP($M$12,Datengrundlage!AF81:AJ83,2,FALSE)</f>
        <v>9</v>
      </c>
      <c r="G199" s="26"/>
      <c r="H199" s="191">
        <v>0</v>
      </c>
      <c r="I199" s="102">
        <f>H199*F199</f>
        <v>0</v>
      </c>
    </row>
    <row r="200" spans="2:9" ht="15" customHeight="1" x14ac:dyDescent="0.25">
      <c r="B200" s="175"/>
      <c r="C200" s="26"/>
      <c r="D200" s="26"/>
      <c r="E200" s="179" t="s">
        <v>144</v>
      </c>
      <c r="F200" s="26"/>
      <c r="G200" s="26"/>
      <c r="H200" s="26"/>
      <c r="I200" s="176"/>
    </row>
    <row r="201" spans="2:9" ht="15" customHeight="1" thickBot="1" x14ac:dyDescent="0.3">
      <c r="B201" s="540"/>
      <c r="C201" s="116"/>
      <c r="D201" s="116"/>
      <c r="E201" s="116"/>
      <c r="F201" s="116"/>
      <c r="G201" s="116"/>
      <c r="H201" s="116"/>
      <c r="I201" s="276"/>
    </row>
    <row r="202" spans="2:9" ht="15" customHeight="1" x14ac:dyDescent="0.25">
      <c r="B202" s="541"/>
      <c r="C202" s="539"/>
      <c r="D202" s="539"/>
      <c r="E202" s="539"/>
      <c r="F202" s="539"/>
      <c r="G202" s="539"/>
      <c r="H202" s="539"/>
      <c r="I202" s="273"/>
    </row>
    <row r="203" spans="2:9" ht="15" customHeight="1" x14ac:dyDescent="0.25">
      <c r="B203" s="175"/>
      <c r="C203" s="776" t="s">
        <v>145</v>
      </c>
      <c r="D203" s="684" t="s">
        <v>146</v>
      </c>
      <c r="E203" s="684"/>
      <c r="F203" s="684"/>
      <c r="G203" s="26"/>
      <c r="H203" s="182"/>
      <c r="I203" s="176"/>
    </row>
    <row r="204" spans="2:9" ht="15" customHeight="1" x14ac:dyDescent="0.25">
      <c r="B204" s="553"/>
      <c r="C204" s="796"/>
      <c r="D204" s="797"/>
      <c r="E204" s="797"/>
      <c r="F204" s="797"/>
      <c r="G204" s="149"/>
      <c r="H204" s="556"/>
      <c r="I204" s="558"/>
    </row>
    <row r="205" spans="2:9" ht="15" customHeight="1" x14ac:dyDescent="0.25">
      <c r="B205" s="175"/>
      <c r="C205" s="26"/>
      <c r="D205" s="122"/>
      <c r="E205" s="182"/>
      <c r="F205" s="182"/>
      <c r="G205" s="26"/>
      <c r="H205" s="182"/>
      <c r="I205" s="176"/>
    </row>
    <row r="206" spans="2:9" ht="15" customHeight="1" x14ac:dyDescent="0.25">
      <c r="B206" s="175"/>
      <c r="C206" s="26"/>
      <c r="D206" s="538"/>
      <c r="E206" s="182"/>
      <c r="F206" s="182"/>
      <c r="G206" s="26"/>
      <c r="H206" s="182"/>
      <c r="I206" s="278"/>
    </row>
    <row r="207" spans="2:9" ht="15" customHeight="1" x14ac:dyDescent="0.25">
      <c r="B207" s="175"/>
      <c r="C207" s="26"/>
      <c r="D207" s="776" t="s">
        <v>147</v>
      </c>
      <c r="E207" s="684" t="s">
        <v>148</v>
      </c>
      <c r="F207" s="684"/>
      <c r="G207" s="26"/>
      <c r="H207" s="26"/>
      <c r="I207" s="278"/>
    </row>
    <row r="208" spans="2:9" ht="15" customHeight="1" x14ac:dyDescent="0.25">
      <c r="B208" s="175"/>
      <c r="C208" s="26"/>
      <c r="D208" s="776"/>
      <c r="E208" s="684"/>
      <c r="F208" s="684"/>
      <c r="G208" s="26"/>
      <c r="H208" s="26"/>
      <c r="I208" s="278"/>
    </row>
    <row r="209" spans="2:9" ht="15" customHeight="1" x14ac:dyDescent="0.25">
      <c r="B209" s="175"/>
      <c r="C209" s="26"/>
      <c r="D209" s="538"/>
      <c r="E209" s="534"/>
      <c r="F209" s="26"/>
      <c r="G209" s="26"/>
      <c r="H209" s="756" t="s">
        <v>149</v>
      </c>
      <c r="I209" s="754" t="s">
        <v>106</v>
      </c>
    </row>
    <row r="210" spans="2:9" ht="15" customHeight="1" thickBot="1" x14ac:dyDescent="0.3">
      <c r="B210" s="175"/>
      <c r="C210" s="14"/>
      <c r="D210" s="617" t="s">
        <v>603</v>
      </c>
      <c r="E210" s="614"/>
      <c r="F210" s="26"/>
      <c r="G210" s="26"/>
      <c r="H210" s="757"/>
      <c r="I210" s="755"/>
    </row>
    <row r="211" spans="2:9" ht="15" customHeight="1" thickBot="1" x14ac:dyDescent="0.3">
      <c r="B211" s="175"/>
      <c r="C211" s="14"/>
      <c r="D211" s="14"/>
      <c r="E211" s="185" t="s">
        <v>180</v>
      </c>
      <c r="F211" s="184">
        <f>HLOOKUP($M$12,Datengrundlage!AF85:AJ90,2,FALSE)</f>
        <v>200</v>
      </c>
      <c r="G211" s="26"/>
      <c r="H211" s="191">
        <v>0</v>
      </c>
      <c r="I211" s="102">
        <f>IF(SUM(H211:H212)&gt;=5,F211*H211,0)</f>
        <v>0</v>
      </c>
    </row>
    <row r="212" spans="2:9" ht="15" customHeight="1" thickBot="1" x14ac:dyDescent="0.3">
      <c r="B212" s="175"/>
      <c r="C212" s="14"/>
      <c r="D212" s="14"/>
      <c r="E212" s="185" t="s">
        <v>690</v>
      </c>
      <c r="F212" s="184">
        <f>F211*2</f>
        <v>400</v>
      </c>
      <c r="G212" s="26"/>
      <c r="H212" s="191">
        <v>0</v>
      </c>
      <c r="I212" s="102">
        <f>IF(SUM(H211:H212)&gt;=5,F212*H212,0)</f>
        <v>0</v>
      </c>
    </row>
    <row r="213" spans="2:9" ht="15" customHeight="1" thickBot="1" x14ac:dyDescent="0.3">
      <c r="B213" s="175"/>
      <c r="C213" s="14"/>
      <c r="D213" s="14"/>
      <c r="E213" s="529" t="s">
        <v>599</v>
      </c>
      <c r="F213" s="268"/>
      <c r="G213" s="26"/>
      <c r="H213" s="186"/>
      <c r="I213" s="176"/>
    </row>
    <row r="214" spans="2:9" ht="15" customHeight="1" thickBot="1" x14ac:dyDescent="0.3">
      <c r="B214" s="175"/>
      <c r="C214" s="14"/>
      <c r="D214" s="14"/>
      <c r="E214" s="185" t="s">
        <v>600</v>
      </c>
      <c r="F214" s="184">
        <f>HLOOKUP($M$12,Datengrundlage!AF85:AJ90,3,FALSE)</f>
        <v>30</v>
      </c>
      <c r="G214" s="26"/>
      <c r="H214" s="191">
        <v>0</v>
      </c>
      <c r="I214" s="102">
        <f>IF(SUM(H214:H215)&gt;=10,F214*H214,0)</f>
        <v>0</v>
      </c>
    </row>
    <row r="215" spans="2:9" ht="15" customHeight="1" thickBot="1" x14ac:dyDescent="0.3">
      <c r="B215" s="175"/>
      <c r="C215" s="14"/>
      <c r="D215" s="14"/>
      <c r="E215" s="185" t="s">
        <v>690</v>
      </c>
      <c r="F215" s="184">
        <f>F214*2</f>
        <v>60</v>
      </c>
      <c r="G215" s="26"/>
      <c r="H215" s="191">
        <v>0</v>
      </c>
      <c r="I215" s="102">
        <f>IF(SUM(H214:H215)&gt;=10,F215*H215,0)</f>
        <v>0</v>
      </c>
    </row>
    <row r="216" spans="2:9" ht="15" customHeight="1" thickBot="1" x14ac:dyDescent="0.3">
      <c r="B216" s="175"/>
      <c r="C216" s="14"/>
      <c r="D216" s="14"/>
      <c r="E216" s="529" t="s">
        <v>601</v>
      </c>
      <c r="F216" s="268"/>
      <c r="G216" s="26"/>
      <c r="H216" s="26"/>
      <c r="I216" s="176"/>
    </row>
    <row r="217" spans="2:9" ht="15" customHeight="1" thickBot="1" x14ac:dyDescent="0.3">
      <c r="B217" s="175"/>
      <c r="C217" s="14"/>
      <c r="D217" s="14"/>
      <c r="E217" s="185" t="s">
        <v>608</v>
      </c>
      <c r="F217" s="184">
        <f>HLOOKUP($M$12,Datengrundlage!AF85:AJ90,4,FALSE)</f>
        <v>60</v>
      </c>
      <c r="G217" s="26"/>
      <c r="H217" s="191">
        <v>0</v>
      </c>
      <c r="I217" s="102">
        <f>IF(SUM(H217:H218)&gt;=3,F217*H217,0)</f>
        <v>0</v>
      </c>
    </row>
    <row r="218" spans="2:9" ht="15" customHeight="1" thickBot="1" x14ac:dyDescent="0.3">
      <c r="B218" s="175"/>
      <c r="C218" s="14"/>
      <c r="D218" s="14"/>
      <c r="E218" s="185" t="s">
        <v>690</v>
      </c>
      <c r="F218" s="184">
        <f>F217*2</f>
        <v>120</v>
      </c>
      <c r="G218" s="26"/>
      <c r="H218" s="191">
        <v>0</v>
      </c>
      <c r="I218" s="102">
        <f>IF(SUM(H217:H218)&gt;=3,F218*H218,0)</f>
        <v>0</v>
      </c>
    </row>
    <row r="219" spans="2:9" ht="15" customHeight="1" x14ac:dyDescent="0.25">
      <c r="B219" s="175"/>
      <c r="C219" s="14"/>
      <c r="D219" s="14"/>
      <c r="E219" s="529" t="s">
        <v>602</v>
      </c>
      <c r="F219" s="268"/>
      <c r="G219" s="26"/>
      <c r="H219" s="26"/>
      <c r="I219" s="176"/>
    </row>
    <row r="220" spans="2:9" ht="15" customHeight="1" x14ac:dyDescent="0.25">
      <c r="B220" s="175"/>
      <c r="C220" s="14"/>
      <c r="D220" s="14"/>
      <c r="E220" s="529"/>
      <c r="F220" s="268"/>
      <c r="G220" s="26"/>
      <c r="H220" s="26"/>
      <c r="I220" s="176"/>
    </row>
    <row r="221" spans="2:9" ht="15" customHeight="1" thickBot="1" x14ac:dyDescent="0.3">
      <c r="B221" s="175"/>
      <c r="C221" s="14"/>
      <c r="D221" s="617" t="s">
        <v>604</v>
      </c>
      <c r="E221" s="529"/>
      <c r="F221" s="268"/>
      <c r="G221" s="26"/>
      <c r="H221" s="26"/>
      <c r="I221" s="176"/>
    </row>
    <row r="222" spans="2:9" ht="15" customHeight="1" thickBot="1" x14ac:dyDescent="0.3">
      <c r="B222" s="175"/>
      <c r="C222" s="14"/>
      <c r="D222" s="14"/>
      <c r="E222" s="185" t="s">
        <v>665</v>
      </c>
      <c r="F222" s="184">
        <f>HLOOKUP($M$12,Datengrundlage!AF85:AJ90,5,FALSE)</f>
        <v>30</v>
      </c>
      <c r="G222" s="26"/>
      <c r="H222" s="191">
        <v>0</v>
      </c>
      <c r="I222" s="102">
        <f>IF(SUM(H222:H223)&gt;=5,F222*H222,0)</f>
        <v>0</v>
      </c>
    </row>
    <row r="223" spans="2:9" ht="15" customHeight="1" thickBot="1" x14ac:dyDescent="0.3">
      <c r="B223" s="175"/>
      <c r="C223" s="14"/>
      <c r="D223" s="14"/>
      <c r="E223" s="185" t="s">
        <v>690</v>
      </c>
      <c r="F223" s="184">
        <f>F222*2</f>
        <v>60</v>
      </c>
      <c r="G223" s="26"/>
      <c r="H223" s="191">
        <v>0</v>
      </c>
      <c r="I223" s="102">
        <f>IF(SUM(H222:H223)&gt;=5,F223*H223,0)</f>
        <v>0</v>
      </c>
    </row>
    <row r="224" spans="2:9" ht="15" customHeight="1" x14ac:dyDescent="0.25">
      <c r="B224" s="175"/>
      <c r="C224" s="14"/>
      <c r="D224" s="14"/>
      <c r="E224" s="529" t="s">
        <v>606</v>
      </c>
      <c r="F224" s="268"/>
      <c r="G224" s="26"/>
      <c r="H224" s="26"/>
      <c r="I224" s="176"/>
    </row>
    <row r="225" spans="2:9" ht="15" customHeight="1" x14ac:dyDescent="0.25">
      <c r="B225" s="175"/>
      <c r="C225" s="14"/>
      <c r="D225" s="14"/>
      <c r="E225" s="529"/>
      <c r="F225" s="268"/>
      <c r="G225" s="26"/>
      <c r="H225" s="26"/>
      <c r="I225" s="176"/>
    </row>
    <row r="226" spans="2:9" ht="15" customHeight="1" thickBot="1" x14ac:dyDescent="0.3">
      <c r="B226" s="175"/>
      <c r="C226" s="14"/>
      <c r="D226" s="617" t="s">
        <v>605</v>
      </c>
      <c r="E226" s="529"/>
      <c r="F226" s="268"/>
      <c r="G226" s="26"/>
      <c r="H226" s="26"/>
      <c r="I226" s="176"/>
    </row>
    <row r="227" spans="2:9" ht="15" customHeight="1" thickBot="1" x14ac:dyDescent="0.3">
      <c r="B227" s="175"/>
      <c r="C227" s="14"/>
      <c r="D227" s="14"/>
      <c r="E227" s="185" t="s">
        <v>609</v>
      </c>
      <c r="F227" s="184">
        <f>HLOOKUP($M$12,Datengrundlage!AF85:AJ90,6,FALSE)</f>
        <v>200</v>
      </c>
      <c r="G227" s="26"/>
      <c r="H227" s="191">
        <v>0</v>
      </c>
      <c r="I227" s="102">
        <f>IF(SUM(H227:H228)&gt;=1,F227*H227,0)</f>
        <v>0</v>
      </c>
    </row>
    <row r="228" spans="2:9" ht="15" customHeight="1" thickBot="1" x14ac:dyDescent="0.3">
      <c r="B228" s="175"/>
      <c r="C228" s="14"/>
      <c r="D228" s="14"/>
      <c r="E228" s="185" t="s">
        <v>690</v>
      </c>
      <c r="F228" s="184">
        <f>F227*2</f>
        <v>400</v>
      </c>
      <c r="G228" s="26"/>
      <c r="H228" s="191">
        <v>0</v>
      </c>
      <c r="I228" s="102">
        <f>IF(SUM(H227:H228)&gt;=1,F228*H228,0)</f>
        <v>0</v>
      </c>
    </row>
    <row r="229" spans="2:9" ht="15" customHeight="1" x14ac:dyDescent="0.25">
      <c r="B229" s="175"/>
      <c r="C229" s="26"/>
      <c r="D229" s="26"/>
      <c r="E229" s="529" t="s">
        <v>607</v>
      </c>
      <c r="F229" s="268"/>
      <c r="G229" s="26"/>
      <c r="H229" s="26"/>
      <c r="I229" s="176"/>
    </row>
    <row r="230" spans="2:9" ht="15" customHeight="1" thickBot="1" x14ac:dyDescent="0.3">
      <c r="B230" s="540"/>
      <c r="C230" s="116"/>
      <c r="D230" s="116"/>
      <c r="E230" s="550"/>
      <c r="F230" s="550"/>
      <c r="G230" s="116"/>
      <c r="H230" s="116"/>
      <c r="I230" s="276"/>
    </row>
    <row r="231" spans="2:9" ht="15" customHeight="1" x14ac:dyDescent="0.25">
      <c r="B231" s="541"/>
      <c r="C231" s="539"/>
      <c r="D231" s="539"/>
      <c r="E231" s="539"/>
      <c r="F231" s="539"/>
      <c r="G231" s="539"/>
      <c r="H231" s="539"/>
      <c r="I231" s="273"/>
    </row>
    <row r="232" spans="2:9" ht="15" customHeight="1" x14ac:dyDescent="0.25">
      <c r="B232" s="175"/>
      <c r="C232" s="776" t="s">
        <v>150</v>
      </c>
      <c r="D232" s="684" t="s">
        <v>151</v>
      </c>
      <c r="E232" s="684"/>
      <c r="F232" s="684"/>
      <c r="G232" s="182"/>
      <c r="H232" s="182"/>
      <c r="I232" s="278"/>
    </row>
    <row r="233" spans="2:9" ht="15" customHeight="1" x14ac:dyDescent="0.25">
      <c r="B233" s="553"/>
      <c r="C233" s="796"/>
      <c r="D233" s="797"/>
      <c r="E233" s="797"/>
      <c r="F233" s="797"/>
      <c r="G233" s="556"/>
      <c r="H233" s="556"/>
      <c r="I233" s="555"/>
    </row>
    <row r="234" spans="2:9" ht="15" customHeight="1" x14ac:dyDescent="0.25">
      <c r="B234" s="175"/>
      <c r="C234" s="26"/>
      <c r="D234" s="538"/>
      <c r="E234" s="182"/>
      <c r="F234" s="182"/>
      <c r="G234" s="26"/>
      <c r="H234" s="182"/>
      <c r="I234" s="278"/>
    </row>
    <row r="235" spans="2:9" ht="15" customHeight="1" x14ac:dyDescent="0.25">
      <c r="B235" s="175"/>
      <c r="C235" s="26"/>
      <c r="D235" s="776" t="s">
        <v>152</v>
      </c>
      <c r="E235" s="684" t="s">
        <v>509</v>
      </c>
      <c r="F235" s="684"/>
      <c r="G235" s="26"/>
      <c r="H235" s="182"/>
      <c r="I235" s="176"/>
    </row>
    <row r="236" spans="2:9" ht="15" customHeight="1" x14ac:dyDescent="0.25">
      <c r="B236" s="175"/>
      <c r="C236" s="26"/>
      <c r="D236" s="776"/>
      <c r="E236" s="684"/>
      <c r="F236" s="684"/>
      <c r="G236" s="26"/>
      <c r="H236" s="182"/>
      <c r="I236" s="176"/>
    </row>
    <row r="237" spans="2:9" ht="15" customHeight="1" x14ac:dyDescent="0.25">
      <c r="B237" s="175"/>
      <c r="C237" s="26"/>
      <c r="D237" s="26"/>
      <c r="E237" s="182"/>
      <c r="F237" s="182"/>
      <c r="G237" s="26"/>
      <c r="H237" s="752" t="s">
        <v>94</v>
      </c>
      <c r="I237" s="754" t="s">
        <v>106</v>
      </c>
    </row>
    <row r="238" spans="2:9" ht="15" customHeight="1" thickBot="1" x14ac:dyDescent="0.3">
      <c r="B238" s="175"/>
      <c r="C238" s="26"/>
      <c r="D238" s="26"/>
      <c r="E238" s="26"/>
      <c r="F238" s="26"/>
      <c r="G238" s="26"/>
      <c r="H238" s="753"/>
      <c r="I238" s="755"/>
    </row>
    <row r="239" spans="2:9" ht="15" customHeight="1" thickBot="1" x14ac:dyDescent="0.3">
      <c r="B239" s="175"/>
      <c r="C239" s="26"/>
      <c r="D239" s="26"/>
      <c r="E239" s="537" t="s">
        <v>160</v>
      </c>
      <c r="F239" s="177">
        <f>HLOOKUP($M$12,Datengrundlage!$AF$93:$AJ$126,2,FALSE)</f>
        <v>60</v>
      </c>
      <c r="G239" s="26"/>
      <c r="H239" s="190">
        <v>0</v>
      </c>
      <c r="I239" s="102">
        <f t="shared" ref="I239:I271" si="2">F239*H239</f>
        <v>0</v>
      </c>
    </row>
    <row r="240" spans="2:9" ht="15" customHeight="1" thickBot="1" x14ac:dyDescent="0.3">
      <c r="B240" s="175"/>
      <c r="C240" s="26"/>
      <c r="D240" s="26"/>
      <c r="E240" s="537" t="s">
        <v>161</v>
      </c>
      <c r="F240" s="177">
        <f>HLOOKUP($M$12,Datengrundlage!$AF$93:$AJ$126,3,FALSE)</f>
        <v>90</v>
      </c>
      <c r="G240" s="26"/>
      <c r="H240" s="190">
        <v>0</v>
      </c>
      <c r="I240" s="102">
        <f t="shared" si="2"/>
        <v>0</v>
      </c>
    </row>
    <row r="241" spans="2:10" ht="15" customHeight="1" thickBot="1" x14ac:dyDescent="0.3">
      <c r="B241" s="175"/>
      <c r="C241" s="26"/>
      <c r="D241" s="26"/>
      <c r="E241" s="537" t="s">
        <v>162</v>
      </c>
      <c r="F241" s="177">
        <f>HLOOKUP($M$12,Datengrundlage!$AF$93:$AJ$126,4,FALSE)</f>
        <v>120</v>
      </c>
      <c r="G241" s="26"/>
      <c r="H241" s="190">
        <v>0</v>
      </c>
      <c r="I241" s="102">
        <f t="shared" si="2"/>
        <v>0</v>
      </c>
    </row>
    <row r="242" spans="2:10" ht="15" customHeight="1" thickBot="1" x14ac:dyDescent="0.3">
      <c r="B242" s="175"/>
      <c r="C242" s="26"/>
      <c r="D242" s="26"/>
      <c r="E242" s="537" t="s">
        <v>577</v>
      </c>
      <c r="F242" s="177">
        <f>HLOOKUP($M$12,Datengrundlage!$AF$93:$AJ$126,5,FALSE)</f>
        <v>150</v>
      </c>
      <c r="G242" s="26"/>
      <c r="H242" s="190">
        <v>0</v>
      </c>
      <c r="I242" s="102">
        <f t="shared" si="2"/>
        <v>0</v>
      </c>
    </row>
    <row r="243" spans="2:10" ht="15" customHeight="1" thickBot="1" x14ac:dyDescent="0.3">
      <c r="B243" s="175"/>
      <c r="C243" s="26"/>
      <c r="D243" s="26"/>
      <c r="E243" s="537" t="s">
        <v>578</v>
      </c>
      <c r="F243" s="177">
        <f>HLOOKUP($M$12,Datengrundlage!$AF$93:$AJ$126,6,FALSE)</f>
        <v>180</v>
      </c>
      <c r="G243" s="26"/>
      <c r="H243" s="190">
        <v>0</v>
      </c>
      <c r="I243" s="102">
        <f t="shared" si="2"/>
        <v>0</v>
      </c>
    </row>
    <row r="244" spans="2:10" ht="15" customHeight="1" thickBot="1" x14ac:dyDescent="0.3">
      <c r="B244" s="175"/>
      <c r="C244" s="26"/>
      <c r="D244" s="26"/>
      <c r="E244" s="537" t="s">
        <v>579</v>
      </c>
      <c r="F244" s="177">
        <f>HLOOKUP($M$12,Datengrundlage!$AF$93:$AJ$126,7,FALSE)</f>
        <v>210</v>
      </c>
      <c r="G244" s="26"/>
      <c r="H244" s="190">
        <v>0</v>
      </c>
      <c r="I244" s="102">
        <f t="shared" si="2"/>
        <v>0</v>
      </c>
    </row>
    <row r="245" spans="2:10" ht="15" customHeight="1" thickBot="1" x14ac:dyDescent="0.3">
      <c r="B245" s="175"/>
      <c r="C245" s="26"/>
      <c r="D245" s="26"/>
      <c r="E245" s="537" t="s">
        <v>154</v>
      </c>
      <c r="F245" s="177">
        <f>HLOOKUP($M$12,Datengrundlage!$AF$93:$AJ$126,8,FALSE)</f>
        <v>60</v>
      </c>
      <c r="G245" s="26"/>
      <c r="H245" s="190">
        <v>0</v>
      </c>
      <c r="I245" s="102">
        <f t="shared" si="2"/>
        <v>0</v>
      </c>
    </row>
    <row r="246" spans="2:10" ht="15" customHeight="1" thickBot="1" x14ac:dyDescent="0.3">
      <c r="B246" s="175"/>
      <c r="C246" s="26"/>
      <c r="D246" s="26"/>
      <c r="E246" s="537" t="s">
        <v>155</v>
      </c>
      <c r="F246" s="177">
        <f>HLOOKUP($M$12,Datengrundlage!$AF$93:$AJ$126,9,FALSE)</f>
        <v>90</v>
      </c>
      <c r="G246" s="26"/>
      <c r="H246" s="190">
        <v>0</v>
      </c>
      <c r="I246" s="102">
        <f t="shared" si="2"/>
        <v>0</v>
      </c>
    </row>
    <row r="247" spans="2:10" ht="15" customHeight="1" thickBot="1" x14ac:dyDescent="0.3">
      <c r="B247" s="175"/>
      <c r="C247" s="26"/>
      <c r="D247" s="26"/>
      <c r="E247" s="537" t="s">
        <v>156</v>
      </c>
      <c r="F247" s="177">
        <f>HLOOKUP($M$12,Datengrundlage!$AF$93:$AJ$126,10,FALSE)</f>
        <v>120</v>
      </c>
      <c r="G247" s="26"/>
      <c r="H247" s="190">
        <v>0</v>
      </c>
      <c r="I247" s="102">
        <f t="shared" si="2"/>
        <v>0</v>
      </c>
    </row>
    <row r="248" spans="2:10" ht="15" customHeight="1" thickBot="1" x14ac:dyDescent="0.3">
      <c r="B248" s="175"/>
      <c r="C248" s="26"/>
      <c r="D248" s="26"/>
      <c r="E248" s="537" t="s">
        <v>580</v>
      </c>
      <c r="F248" s="177">
        <f>HLOOKUP($M$12,Datengrundlage!$AF$93:$AJ$126,11,FALSE)</f>
        <v>180</v>
      </c>
      <c r="G248" s="26"/>
      <c r="H248" s="190">
        <v>0</v>
      </c>
      <c r="I248" s="102">
        <f t="shared" si="2"/>
        <v>0</v>
      </c>
    </row>
    <row r="249" spans="2:10" ht="15" customHeight="1" thickBot="1" x14ac:dyDescent="0.3">
      <c r="B249" s="175"/>
      <c r="C249" s="26"/>
      <c r="D249" s="26"/>
      <c r="E249" s="537" t="s">
        <v>157</v>
      </c>
      <c r="F249" s="177">
        <f>HLOOKUP($M$12,Datengrundlage!$AF$93:$AJ$126,12,FALSE)</f>
        <v>60</v>
      </c>
      <c r="G249" s="26"/>
      <c r="H249" s="190">
        <v>0</v>
      </c>
      <c r="I249" s="102">
        <f t="shared" si="2"/>
        <v>0</v>
      </c>
    </row>
    <row r="250" spans="2:10" ht="15" customHeight="1" thickBot="1" x14ac:dyDescent="0.3">
      <c r="B250" s="175"/>
      <c r="C250" s="26"/>
      <c r="D250" s="26"/>
      <c r="E250" s="537" t="s">
        <v>158</v>
      </c>
      <c r="F250" s="177">
        <f>HLOOKUP($M$12,Datengrundlage!$AF$93:$AJ$126,13,FALSE)</f>
        <v>90</v>
      </c>
      <c r="G250" s="26"/>
      <c r="H250" s="190">
        <v>0</v>
      </c>
      <c r="I250" s="102">
        <f t="shared" si="2"/>
        <v>0</v>
      </c>
    </row>
    <row r="251" spans="2:10" ht="15" customHeight="1" thickBot="1" x14ac:dyDescent="0.3">
      <c r="B251" s="175"/>
      <c r="C251" s="26"/>
      <c r="D251" s="26"/>
      <c r="E251" s="537" t="s">
        <v>159</v>
      </c>
      <c r="F251" s="177">
        <f>HLOOKUP($M$12,Datengrundlage!$AF$93:$AJ$126,14,FALSE)</f>
        <v>120</v>
      </c>
      <c r="G251" s="26"/>
      <c r="H251" s="190">
        <v>0</v>
      </c>
      <c r="I251" s="102">
        <f t="shared" si="2"/>
        <v>0</v>
      </c>
    </row>
    <row r="252" spans="2:10" ht="15" customHeight="1" thickBot="1" x14ac:dyDescent="0.3">
      <c r="B252" s="175"/>
      <c r="C252" s="26"/>
      <c r="D252" s="26"/>
      <c r="E252" s="537" t="s">
        <v>581</v>
      </c>
      <c r="F252" s="177">
        <f>HLOOKUP($M$12,Datengrundlage!$AF$93:$AJ$126,15,FALSE)</f>
        <v>150</v>
      </c>
      <c r="G252" s="26"/>
      <c r="H252" s="190">
        <v>0</v>
      </c>
      <c r="I252" s="102">
        <f t="shared" si="2"/>
        <v>0</v>
      </c>
    </row>
    <row r="253" spans="2:10" ht="15" customHeight="1" thickBot="1" x14ac:dyDescent="0.3">
      <c r="B253" s="175"/>
      <c r="C253" s="26"/>
      <c r="D253" s="26"/>
      <c r="E253" s="537" t="s">
        <v>163</v>
      </c>
      <c r="F253" s="177">
        <f>HLOOKUP($M$12,Datengrundlage!$AF$93:$AJ$126,16,FALSE)</f>
        <v>60</v>
      </c>
      <c r="G253" s="26"/>
      <c r="H253" s="190">
        <v>0</v>
      </c>
      <c r="I253" s="102">
        <f t="shared" si="2"/>
        <v>0</v>
      </c>
    </row>
    <row r="254" spans="2:10" ht="15" customHeight="1" thickBot="1" x14ac:dyDescent="0.3">
      <c r="B254" s="175"/>
      <c r="C254" s="26"/>
      <c r="D254" s="26"/>
      <c r="E254" s="566" t="s">
        <v>638</v>
      </c>
      <c r="F254" s="177">
        <f>HLOOKUP($M$12,Datengrundlage!$AF$93:$AJ$126,17,FALSE)</f>
        <v>90</v>
      </c>
      <c r="G254" s="26"/>
      <c r="H254" s="190">
        <v>0</v>
      </c>
      <c r="I254" s="578">
        <f ca="1">IF(AND($H$277=0,H254&lt;&gt;0),F254*0,F254*H254)</f>
        <v>0</v>
      </c>
      <c r="J254" s="2" t="str">
        <f ca="1">IF(AND($H$277=0,H254&lt;&gt;0),"!","")</f>
        <v/>
      </c>
    </row>
    <row r="255" spans="2:10" ht="15" customHeight="1" thickBot="1" x14ac:dyDescent="0.3">
      <c r="B255" s="175"/>
      <c r="C255" s="26"/>
      <c r="D255" s="26"/>
      <c r="E255" s="537" t="s">
        <v>164</v>
      </c>
      <c r="F255" s="177">
        <f>HLOOKUP($M$12,Datengrundlage!$AF$93:$AJ$126,18,FALSE)</f>
        <v>120</v>
      </c>
      <c r="G255" s="26"/>
      <c r="H255" s="190">
        <v>0</v>
      </c>
      <c r="I255" s="102">
        <f t="shared" si="2"/>
        <v>0</v>
      </c>
    </row>
    <row r="256" spans="2:10" ht="15" customHeight="1" thickBot="1" x14ac:dyDescent="0.3">
      <c r="B256" s="175"/>
      <c r="C256" s="26"/>
      <c r="D256" s="26"/>
      <c r="E256" s="537" t="s">
        <v>582</v>
      </c>
      <c r="F256" s="177">
        <f>HLOOKUP($M$12,Datengrundlage!$AF$93:$AJ$126,19,FALSE)</f>
        <v>180</v>
      </c>
      <c r="G256" s="26"/>
      <c r="H256" s="190">
        <v>0</v>
      </c>
      <c r="I256" s="102">
        <f t="shared" si="2"/>
        <v>0</v>
      </c>
    </row>
    <row r="257" spans="2:10" ht="15" customHeight="1" thickBot="1" x14ac:dyDescent="0.3">
      <c r="B257" s="175"/>
      <c r="C257" s="26"/>
      <c r="D257" s="26"/>
      <c r="E257" s="537" t="s">
        <v>583</v>
      </c>
      <c r="F257" s="177">
        <f>HLOOKUP($M$12,Datengrundlage!$AF$93:$AJ$126,20,FALSE)</f>
        <v>210</v>
      </c>
      <c r="G257" s="26"/>
      <c r="H257" s="190">
        <v>0</v>
      </c>
      <c r="I257" s="102">
        <f t="shared" si="2"/>
        <v>0</v>
      </c>
    </row>
    <row r="258" spans="2:10" ht="15" customHeight="1" thickBot="1" x14ac:dyDescent="0.3">
      <c r="B258" s="175"/>
      <c r="C258" s="26"/>
      <c r="D258" s="26"/>
      <c r="E258" s="537" t="s">
        <v>165</v>
      </c>
      <c r="F258" s="177">
        <f>HLOOKUP($M$12,Datengrundlage!$AF$93:$AJ$126,21,FALSE)</f>
        <v>60</v>
      </c>
      <c r="G258" s="26"/>
      <c r="H258" s="190">
        <v>0</v>
      </c>
      <c r="I258" s="102">
        <f t="shared" si="2"/>
        <v>0</v>
      </c>
    </row>
    <row r="259" spans="2:10" ht="15" customHeight="1" thickBot="1" x14ac:dyDescent="0.3">
      <c r="B259" s="175"/>
      <c r="C259" s="26"/>
      <c r="D259" s="26"/>
      <c r="E259" s="566" t="s">
        <v>639</v>
      </c>
      <c r="F259" s="177">
        <f>HLOOKUP($M$12,Datengrundlage!$AF$93:$AJ$126,22,FALSE)</f>
        <v>90</v>
      </c>
      <c r="G259" s="26"/>
      <c r="H259" s="190">
        <v>0</v>
      </c>
      <c r="I259" s="578">
        <f ca="1">IF(AND($H$277=0,H259&lt;&gt;0),F259*0,F259*H259)</f>
        <v>0</v>
      </c>
      <c r="J259" s="2" t="str">
        <f ca="1">IF(AND($H$277=0,H259&lt;&gt;0),"!","")</f>
        <v/>
      </c>
    </row>
    <row r="260" spans="2:10" ht="15" customHeight="1" thickBot="1" x14ac:dyDescent="0.3">
      <c r="B260" s="175"/>
      <c r="C260" s="26"/>
      <c r="D260" s="26"/>
      <c r="E260" s="537" t="s">
        <v>166</v>
      </c>
      <c r="F260" s="177">
        <f>HLOOKUP($M$12,Datengrundlage!$AF$93:$AJ$126,23,FALSE)</f>
        <v>120</v>
      </c>
      <c r="G260" s="26"/>
      <c r="H260" s="190">
        <v>0</v>
      </c>
      <c r="I260" s="102">
        <f t="shared" si="2"/>
        <v>0</v>
      </c>
    </row>
    <row r="261" spans="2:10" ht="15" customHeight="1" thickBot="1" x14ac:dyDescent="0.3">
      <c r="B261" s="175"/>
      <c r="C261" s="26"/>
      <c r="D261" s="26"/>
      <c r="E261" s="537" t="s">
        <v>584</v>
      </c>
      <c r="F261" s="177">
        <f>HLOOKUP($M$12,Datengrundlage!$AF$93:$AJ$126,24,FALSE)</f>
        <v>150</v>
      </c>
      <c r="G261" s="26"/>
      <c r="H261" s="190">
        <v>0</v>
      </c>
      <c r="I261" s="102">
        <f t="shared" si="2"/>
        <v>0</v>
      </c>
    </row>
    <row r="262" spans="2:10" ht="15" customHeight="1" thickBot="1" x14ac:dyDescent="0.3">
      <c r="B262" s="175"/>
      <c r="C262" s="26"/>
      <c r="D262" s="26"/>
      <c r="E262" s="537" t="s">
        <v>585</v>
      </c>
      <c r="F262" s="177">
        <f>HLOOKUP($M$12,Datengrundlage!$AF$93:$AJ$126,25,FALSE)</f>
        <v>180</v>
      </c>
      <c r="G262" s="26"/>
      <c r="H262" s="190">
        <v>0</v>
      </c>
      <c r="I262" s="102">
        <f t="shared" si="2"/>
        <v>0</v>
      </c>
    </row>
    <row r="263" spans="2:10" ht="15" customHeight="1" thickBot="1" x14ac:dyDescent="0.3">
      <c r="B263" s="175"/>
      <c r="C263" s="26"/>
      <c r="D263" s="26"/>
      <c r="E263" s="566" t="s">
        <v>640</v>
      </c>
      <c r="F263" s="177">
        <f>HLOOKUP($M$12,Datengrundlage!$AF$93:$AJ$126,26,FALSE)</f>
        <v>60</v>
      </c>
      <c r="G263" s="26"/>
      <c r="H263" s="190">
        <v>0</v>
      </c>
      <c r="I263" s="578">
        <f ca="1">IF(AND($H$277=0,H263&lt;&gt;0),F263*0,F263*H263)</f>
        <v>0</v>
      </c>
      <c r="J263" s="2" t="str">
        <f ca="1">IF(AND($H$277=0,H263&lt;&gt;0),"!","")</f>
        <v/>
      </c>
    </row>
    <row r="264" spans="2:10" ht="15" customHeight="1" thickBot="1" x14ac:dyDescent="0.3">
      <c r="B264" s="175"/>
      <c r="C264" s="26"/>
      <c r="D264" s="26"/>
      <c r="E264" s="537" t="s">
        <v>167</v>
      </c>
      <c r="F264" s="177">
        <f>HLOOKUP($M$12,Datengrundlage!$AF$93:$AJ$126,27,FALSE)</f>
        <v>90</v>
      </c>
      <c r="G264" s="26"/>
      <c r="H264" s="190">
        <v>0</v>
      </c>
      <c r="I264" s="102">
        <f t="shared" si="2"/>
        <v>0</v>
      </c>
    </row>
    <row r="265" spans="2:10" ht="15" customHeight="1" thickBot="1" x14ac:dyDescent="0.3">
      <c r="B265" s="175"/>
      <c r="C265" s="26"/>
      <c r="D265" s="26"/>
      <c r="E265" s="537" t="s">
        <v>168</v>
      </c>
      <c r="F265" s="177">
        <f>HLOOKUP($M$12,Datengrundlage!$AF$93:$AJ$126,28,FALSE)</f>
        <v>120</v>
      </c>
      <c r="G265" s="26"/>
      <c r="H265" s="190">
        <v>0</v>
      </c>
      <c r="I265" s="102">
        <f t="shared" si="2"/>
        <v>0</v>
      </c>
    </row>
    <row r="266" spans="2:10" ht="15" customHeight="1" thickBot="1" x14ac:dyDescent="0.3">
      <c r="B266" s="175"/>
      <c r="C266" s="26"/>
      <c r="D266" s="26"/>
      <c r="E266" s="537" t="s">
        <v>586</v>
      </c>
      <c r="F266" s="177">
        <f>HLOOKUP($M$12,Datengrundlage!$AF$93:$AJ$126,29,FALSE)</f>
        <v>150</v>
      </c>
      <c r="G266" s="26"/>
      <c r="H266" s="190">
        <v>0</v>
      </c>
      <c r="I266" s="102">
        <f t="shared" si="2"/>
        <v>0</v>
      </c>
    </row>
    <row r="267" spans="2:10" ht="15" customHeight="1" thickBot="1" x14ac:dyDescent="0.3">
      <c r="B267" s="175"/>
      <c r="C267" s="26"/>
      <c r="D267" s="26"/>
      <c r="E267" s="537" t="s">
        <v>587</v>
      </c>
      <c r="F267" s="177">
        <f>HLOOKUP($M$12,Datengrundlage!$AF$93:$AJ$126,30,FALSE)</f>
        <v>180</v>
      </c>
      <c r="G267" s="26"/>
      <c r="H267" s="190">
        <v>0</v>
      </c>
      <c r="I267" s="102">
        <f t="shared" si="2"/>
        <v>0</v>
      </c>
    </row>
    <row r="268" spans="2:10" ht="15" customHeight="1" thickBot="1" x14ac:dyDescent="0.3">
      <c r="B268" s="175"/>
      <c r="C268" s="26"/>
      <c r="D268" s="26"/>
      <c r="E268" s="537" t="s">
        <v>588</v>
      </c>
      <c r="F268" s="177">
        <f>HLOOKUP($M$12,Datengrundlage!$AF$93:$AJ$126,31,FALSE)</f>
        <v>60</v>
      </c>
      <c r="G268" s="26"/>
      <c r="H268" s="190">
        <v>0</v>
      </c>
      <c r="I268" s="102">
        <f t="shared" si="2"/>
        <v>0</v>
      </c>
    </row>
    <row r="269" spans="2:10" ht="15" customHeight="1" thickBot="1" x14ac:dyDescent="0.3">
      <c r="B269" s="175"/>
      <c r="C269" s="26"/>
      <c r="D269" s="26"/>
      <c r="E269" s="537" t="s">
        <v>589</v>
      </c>
      <c r="F269" s="177">
        <f>HLOOKUP($M$12,Datengrundlage!$AF$93:$AJ$126,32,FALSE)</f>
        <v>120</v>
      </c>
      <c r="G269" s="26"/>
      <c r="H269" s="190">
        <v>0</v>
      </c>
      <c r="I269" s="102">
        <f t="shared" si="2"/>
        <v>0</v>
      </c>
    </row>
    <row r="270" spans="2:10" ht="15" customHeight="1" thickBot="1" x14ac:dyDescent="0.3">
      <c r="B270" s="175"/>
      <c r="C270" s="26"/>
      <c r="D270" s="26"/>
      <c r="E270" s="537" t="s">
        <v>590</v>
      </c>
      <c r="F270" s="177">
        <f>HLOOKUP($M$12,Datengrundlage!$AF$93:$AJ$126,33,FALSE)</f>
        <v>150</v>
      </c>
      <c r="G270" s="26"/>
      <c r="H270" s="190">
        <v>0</v>
      </c>
      <c r="I270" s="102">
        <f t="shared" si="2"/>
        <v>0</v>
      </c>
    </row>
    <row r="271" spans="2:10" ht="15" customHeight="1" thickBot="1" x14ac:dyDescent="0.3">
      <c r="B271" s="175"/>
      <c r="C271" s="26"/>
      <c r="D271" s="26"/>
      <c r="E271" s="537" t="s">
        <v>591</v>
      </c>
      <c r="F271" s="177">
        <f>HLOOKUP($M$12,Datengrundlage!$AF$93:$AJ$126,34,FALSE)</f>
        <v>180</v>
      </c>
      <c r="G271" s="26"/>
      <c r="H271" s="190">
        <v>0</v>
      </c>
      <c r="I271" s="102">
        <f t="shared" si="2"/>
        <v>0</v>
      </c>
    </row>
    <row r="272" spans="2:10" ht="15" customHeight="1" x14ac:dyDescent="0.25">
      <c r="B272" s="175"/>
      <c r="C272" s="26"/>
      <c r="D272" s="26"/>
      <c r="E272" s="537"/>
      <c r="F272" s="177"/>
      <c r="G272" s="26"/>
      <c r="H272" s="479"/>
      <c r="I272" s="478"/>
    </row>
    <row r="273" spans="2:10" ht="15" customHeight="1" x14ac:dyDescent="0.25">
      <c r="B273" s="175"/>
      <c r="C273" s="183" t="s">
        <v>641</v>
      </c>
      <c r="D273" s="183"/>
      <c r="E273" s="183"/>
      <c r="F273" s="183"/>
      <c r="G273" s="183"/>
      <c r="H273" s="763" t="s">
        <v>611</v>
      </c>
      <c r="I273" s="765" t="s">
        <v>610</v>
      </c>
    </row>
    <row r="274" spans="2:10" ht="15" customHeight="1" thickBot="1" x14ac:dyDescent="0.3">
      <c r="B274" s="175"/>
      <c r="C274" s="26"/>
      <c r="D274" s="26"/>
      <c r="E274" s="26"/>
      <c r="F274" s="26"/>
      <c r="G274" s="26"/>
      <c r="H274" s="764"/>
      <c r="I274" s="766"/>
    </row>
    <row r="275" spans="2:10" ht="15" customHeight="1" thickBot="1" x14ac:dyDescent="0.3">
      <c r="B275" s="175"/>
      <c r="C275" s="26"/>
      <c r="D275" s="26"/>
      <c r="E275" s="185"/>
      <c r="F275" s="185" t="s">
        <v>642</v>
      </c>
      <c r="G275" s="26"/>
      <c r="H275" s="101" t="str">
        <f>IF(COUNTIF(D173:E176,"D.1 Altverpflichtung 2023")&gt;0,"ja","nein")</f>
        <v>nein</v>
      </c>
      <c r="I275" s="114" t="str">
        <f>IF((COUNTIF(D173:E176,"bitte wählen")+COUNTIF(D173:E176,"D.1 Altverpflichtung 2023"))&lt;4,"ja","nein")</f>
        <v>nein</v>
      </c>
    </row>
    <row r="276" spans="2:10" ht="15" customHeight="1" thickBot="1" x14ac:dyDescent="0.3">
      <c r="B276" s="175"/>
      <c r="C276" s="26"/>
      <c r="D276" s="26"/>
      <c r="E276" s="26"/>
      <c r="F276" s="26"/>
      <c r="G276" s="748"/>
      <c r="H276" s="748"/>
      <c r="I276" s="749"/>
      <c r="J276" s="2" t="str">
        <f>IF(G276&lt;&gt;"","!","")</f>
        <v/>
      </c>
    </row>
    <row r="277" spans="2:10" ht="15" customHeight="1" thickBot="1" x14ac:dyDescent="0.3">
      <c r="B277" s="175"/>
      <c r="C277" s="26"/>
      <c r="D277" s="26"/>
      <c r="E277" s="185" t="s">
        <v>515</v>
      </c>
      <c r="F277" s="26"/>
      <c r="G277" s="26"/>
      <c r="H277" s="133">
        <f ca="1">SUMIF(D173:E176,"D.1 Altverpflichtung 2023",H173:H176)</f>
        <v>0</v>
      </c>
      <c r="I277" s="133">
        <f ca="1">SUMIF(D173:E176,"A Düngeverzicht",H173:H176)+SUMIF(D173:E176,"B Festmistdüngung",H173:H176)+SUMIF(D173:E176,"C Erhaltungsdüngung",H173:H176)+SUMIF(D173:E176,"D Düngeverzicht öko",H173:H176)+SUMIF(D173:E176,"E Festmistdüngung öko",H173:H176)</f>
        <v>0</v>
      </c>
    </row>
    <row r="278" spans="2:10" ht="15" customHeight="1" thickBot="1" x14ac:dyDescent="0.3">
      <c r="B278" s="175"/>
      <c r="C278" s="26"/>
      <c r="D278" s="26"/>
      <c r="E278" s="26"/>
      <c r="F278" s="26"/>
      <c r="G278" s="26"/>
      <c r="H278" s="181"/>
      <c r="I278" s="279"/>
    </row>
    <row r="279" spans="2:10" ht="15" customHeight="1" thickBot="1" x14ac:dyDescent="0.3">
      <c r="B279" s="175"/>
      <c r="C279" s="26"/>
      <c r="D279" s="26"/>
      <c r="E279" s="185" t="s">
        <v>192</v>
      </c>
      <c r="F279" s="26"/>
      <c r="G279" s="26"/>
      <c r="H279" s="750">
        <f>SUM(H239:H271)</f>
        <v>0</v>
      </c>
      <c r="I279" s="751"/>
    </row>
    <row r="280" spans="2:10" ht="15" customHeight="1" x14ac:dyDescent="0.25">
      <c r="B280" s="175"/>
      <c r="C280" s="26"/>
      <c r="D280" s="26"/>
      <c r="E280" s="185"/>
      <c r="F280" s="790" t="str">
        <f ca="1">IF(OR(AND(H279&lt;&gt;0,H279&gt;SUM(H277:I277)),AND(H279&lt;&gt;0,H279&gt;SUM(H277:I277))),"Eventuell Fläche überschritten oder nicht korrekt zugeordnet","")</f>
        <v/>
      </c>
      <c r="G280" s="790"/>
      <c r="H280" s="790"/>
      <c r="I280" s="791"/>
      <c r="J280" s="2" t="str">
        <f ca="1">IF(F280&lt;&gt;"","!","")</f>
        <v/>
      </c>
    </row>
    <row r="281" spans="2:10" ht="6" customHeight="1" x14ac:dyDescent="0.25">
      <c r="B281" s="175"/>
      <c r="C281" s="26"/>
      <c r="D281" s="26"/>
      <c r="E281" s="26"/>
      <c r="F281" s="26"/>
      <c r="G281" s="26"/>
      <c r="H281" s="582" t="str">
        <f ca="1">IF(SUM(H277:I277)&lt;H279,"überschritten","")</f>
        <v/>
      </c>
      <c r="I281" s="530"/>
    </row>
    <row r="282" spans="2:10" ht="15" customHeight="1" thickBot="1" x14ac:dyDescent="0.3">
      <c r="B282" s="175"/>
      <c r="C282" s="26"/>
      <c r="D282" s="26"/>
      <c r="E282" s="178" t="s">
        <v>200</v>
      </c>
      <c r="F282" s="26"/>
      <c r="G282" s="26"/>
      <c r="H282" s="522"/>
      <c r="I282" s="523"/>
    </row>
    <row r="283" spans="2:10" ht="15" customHeight="1" thickBot="1" x14ac:dyDescent="0.3">
      <c r="B283" s="175"/>
      <c r="C283" s="26"/>
      <c r="D283" s="26"/>
      <c r="E283" s="14" t="s">
        <v>169</v>
      </c>
      <c r="F283" s="26"/>
      <c r="G283" s="26"/>
      <c r="H283" s="190">
        <v>0</v>
      </c>
      <c r="I283" s="102">
        <f>IF(AND(SUM(H249:H252)&gt;0,'Öko-Regelungen'!K38&gt;0),'HALM 2'!H283*('Öko-Regelungen'!L38/'Öko-Regelungen'!K38)*-1,0)</f>
        <v>0</v>
      </c>
    </row>
    <row r="284" spans="2:10" ht="15" customHeight="1" x14ac:dyDescent="0.25">
      <c r="B284" s="175"/>
      <c r="C284" s="26"/>
      <c r="D284" s="26"/>
      <c r="E284" s="180" t="s">
        <v>646</v>
      </c>
      <c r="F284" s="26"/>
      <c r="G284" s="26"/>
      <c r="H284" s="26"/>
      <c r="I284" s="273"/>
    </row>
    <row r="285" spans="2:10" ht="15" customHeight="1" thickBot="1" x14ac:dyDescent="0.3">
      <c r="B285" s="540"/>
      <c r="C285" s="116"/>
      <c r="D285" s="116"/>
      <c r="E285" s="116"/>
      <c r="F285" s="116"/>
      <c r="G285" s="116"/>
      <c r="H285" s="116"/>
      <c r="I285" s="276"/>
    </row>
    <row r="286" spans="2:10" ht="15" customHeight="1" x14ac:dyDescent="0.25">
      <c r="B286" s="541"/>
      <c r="C286" s="539"/>
      <c r="D286" s="539"/>
      <c r="E286" s="551"/>
      <c r="F286" s="539"/>
      <c r="G286" s="539"/>
      <c r="H286" s="539"/>
      <c r="I286" s="273"/>
    </row>
    <row r="287" spans="2:10" ht="15" customHeight="1" x14ac:dyDescent="0.25">
      <c r="B287" s="175"/>
      <c r="C287" s="26"/>
      <c r="D287" s="776" t="s">
        <v>519</v>
      </c>
      <c r="E287" s="519" t="s">
        <v>520</v>
      </c>
      <c r="F287" s="519"/>
      <c r="G287" s="26"/>
      <c r="H287" s="519"/>
      <c r="I287" s="176"/>
    </row>
    <row r="288" spans="2:10" ht="15" customHeight="1" x14ac:dyDescent="0.25">
      <c r="B288" s="175"/>
      <c r="C288" s="26"/>
      <c r="D288" s="776"/>
      <c r="E288" s="180" t="s">
        <v>526</v>
      </c>
      <c r="F288" s="26"/>
      <c r="G288" s="26"/>
      <c r="H288" s="26"/>
      <c r="I288" s="176"/>
    </row>
    <row r="289" spans="2:9" ht="15" customHeight="1" x14ac:dyDescent="0.25">
      <c r="B289" s="175"/>
      <c r="C289" s="26"/>
      <c r="D289" s="26"/>
      <c r="E289" s="180"/>
      <c r="F289" s="26"/>
      <c r="G289" s="26"/>
      <c r="H289" s="26"/>
      <c r="I289" s="176"/>
    </row>
    <row r="290" spans="2:9" ht="15" customHeight="1" x14ac:dyDescent="0.25">
      <c r="B290" s="175"/>
      <c r="C290" s="26"/>
      <c r="D290" s="26"/>
      <c r="E290" s="770" t="s">
        <v>521</v>
      </c>
      <c r="F290" s="752" t="s">
        <v>522</v>
      </c>
      <c r="G290" s="26"/>
      <c r="H290" s="752" t="s">
        <v>94</v>
      </c>
      <c r="I290" s="774" t="s">
        <v>106</v>
      </c>
    </row>
    <row r="291" spans="2:9" ht="15" customHeight="1" thickBot="1" x14ac:dyDescent="0.3">
      <c r="B291" s="175"/>
      <c r="C291" s="26"/>
      <c r="D291" s="26"/>
      <c r="E291" s="770"/>
      <c r="F291" s="752"/>
      <c r="G291" s="26"/>
      <c r="H291" s="753"/>
      <c r="I291" s="775"/>
    </row>
    <row r="292" spans="2:9" ht="15" customHeight="1" thickBot="1" x14ac:dyDescent="0.3">
      <c r="B292" s="175"/>
      <c r="C292" s="26"/>
      <c r="D292" s="26"/>
      <c r="E292" s="513"/>
      <c r="F292" s="511">
        <v>0</v>
      </c>
      <c r="G292" s="26"/>
      <c r="H292" s="190">
        <v>0</v>
      </c>
      <c r="I292" s="102">
        <f>F292*H292</f>
        <v>0</v>
      </c>
    </row>
    <row r="293" spans="2:9" ht="15" customHeight="1" thickBot="1" x14ac:dyDescent="0.3">
      <c r="B293" s="175"/>
      <c r="C293" s="26"/>
      <c r="D293" s="26"/>
      <c r="E293" s="180" t="s">
        <v>523</v>
      </c>
      <c r="F293" s="510"/>
      <c r="G293" s="26"/>
      <c r="H293" s="26"/>
      <c r="I293" s="512"/>
    </row>
    <row r="294" spans="2:9" ht="15" customHeight="1" thickBot="1" x14ac:dyDescent="0.3">
      <c r="B294" s="175"/>
      <c r="C294" s="26"/>
      <c r="D294" s="26"/>
      <c r="E294" s="513"/>
      <c r="F294" s="511">
        <v>0</v>
      </c>
      <c r="G294" s="26"/>
      <c r="H294" s="190">
        <v>0</v>
      </c>
      <c r="I294" s="102">
        <f>F294*H294</f>
        <v>0</v>
      </c>
    </row>
    <row r="295" spans="2:9" ht="15" customHeight="1" thickBot="1" x14ac:dyDescent="0.3">
      <c r="B295" s="175"/>
      <c r="C295" s="26"/>
      <c r="D295" s="26"/>
      <c r="E295" s="180" t="s">
        <v>524</v>
      </c>
      <c r="F295" s="510"/>
      <c r="G295" s="26"/>
      <c r="H295" s="26"/>
      <c r="I295" s="512"/>
    </row>
    <row r="296" spans="2:9" ht="15" customHeight="1" thickBot="1" x14ac:dyDescent="0.3">
      <c r="B296" s="175"/>
      <c r="C296" s="26"/>
      <c r="D296" s="26"/>
      <c r="E296" s="513"/>
      <c r="F296" s="511">
        <v>0</v>
      </c>
      <c r="G296" s="26"/>
      <c r="H296" s="190">
        <v>0</v>
      </c>
      <c r="I296" s="102">
        <f>F296*H296</f>
        <v>0</v>
      </c>
    </row>
    <row r="297" spans="2:9" ht="15" customHeight="1" x14ac:dyDescent="0.25">
      <c r="B297" s="175"/>
      <c r="C297" s="26"/>
      <c r="D297" s="26"/>
      <c r="E297" s="180" t="s">
        <v>525</v>
      </c>
      <c r="F297" s="26"/>
      <c r="G297" s="26"/>
      <c r="H297" s="26"/>
      <c r="I297" s="176"/>
    </row>
    <row r="298" spans="2:9" ht="15" customHeight="1" thickBot="1" x14ac:dyDescent="0.3">
      <c r="B298" s="540"/>
      <c r="C298" s="116"/>
      <c r="D298" s="116"/>
      <c r="E298" s="531"/>
      <c r="F298" s="116"/>
      <c r="G298" s="116"/>
      <c r="H298" s="116"/>
      <c r="I298" s="276"/>
    </row>
    <row r="299" spans="2:9" ht="15" customHeight="1" x14ac:dyDescent="0.25">
      <c r="B299" s="541"/>
      <c r="C299" s="539"/>
      <c r="D299" s="539"/>
      <c r="E299" s="551"/>
      <c r="F299" s="539"/>
      <c r="G299" s="539"/>
      <c r="H299" s="539"/>
      <c r="I299" s="273"/>
    </row>
    <row r="300" spans="2:9" ht="15" customHeight="1" x14ac:dyDescent="0.25">
      <c r="B300" s="175"/>
      <c r="C300" s="780" t="s">
        <v>612</v>
      </c>
      <c r="D300" s="787" t="s">
        <v>613</v>
      </c>
      <c r="E300" s="787"/>
      <c r="F300" s="787"/>
      <c r="G300" s="26"/>
      <c r="H300" s="519"/>
      <c r="I300" s="176"/>
    </row>
    <row r="301" spans="2:9" ht="15" customHeight="1" x14ac:dyDescent="0.25">
      <c r="B301" s="553"/>
      <c r="C301" s="781"/>
      <c r="D301" s="788"/>
      <c r="E301" s="788"/>
      <c r="F301" s="788"/>
      <c r="G301" s="149"/>
      <c r="H301" s="559"/>
      <c r="I301" s="558"/>
    </row>
    <row r="302" spans="2:9" ht="15" customHeight="1" x14ac:dyDescent="0.25">
      <c r="B302" s="175"/>
      <c r="C302" s="26"/>
      <c r="D302" s="26"/>
      <c r="E302" s="180"/>
      <c r="F302" s="26"/>
      <c r="G302" s="26"/>
      <c r="H302" s="26"/>
      <c r="I302" s="176"/>
    </row>
    <row r="303" spans="2:9" ht="15" customHeight="1" x14ac:dyDescent="0.25">
      <c r="B303" s="175"/>
      <c r="C303" s="26"/>
      <c r="D303" s="776" t="s">
        <v>614</v>
      </c>
      <c r="E303" s="770" t="s">
        <v>615</v>
      </c>
      <c r="F303" s="770"/>
      <c r="G303" s="26"/>
      <c r="H303" s="26"/>
      <c r="I303" s="176"/>
    </row>
    <row r="304" spans="2:9" ht="15" customHeight="1" x14ac:dyDescent="0.25">
      <c r="B304" s="175"/>
      <c r="C304" s="26"/>
      <c r="D304" s="776"/>
      <c r="E304" s="770"/>
      <c r="F304" s="770"/>
      <c r="G304" s="26"/>
      <c r="H304" s="752" t="s">
        <v>94</v>
      </c>
      <c r="I304" s="754" t="s">
        <v>106</v>
      </c>
    </row>
    <row r="305" spans="2:10" ht="15" customHeight="1" thickBot="1" x14ac:dyDescent="0.3">
      <c r="B305" s="175"/>
      <c r="C305" s="26"/>
      <c r="D305" s="26"/>
      <c r="E305" s="180"/>
      <c r="F305" s="534"/>
      <c r="G305" s="26"/>
      <c r="H305" s="753"/>
      <c r="I305" s="755"/>
    </row>
    <row r="306" spans="2:10" ht="15" customHeight="1" thickBot="1" x14ac:dyDescent="0.3">
      <c r="B306" s="175"/>
      <c r="C306" s="26"/>
      <c r="D306" s="26"/>
      <c r="E306" s="537" t="s">
        <v>616</v>
      </c>
      <c r="F306" s="177">
        <f>HLOOKUP($M$12,Datengrundlage!AF128:AJ129,2,FALSE)</f>
        <v>70</v>
      </c>
      <c r="G306" s="26"/>
      <c r="H306" s="190">
        <v>0</v>
      </c>
      <c r="I306" s="102">
        <f>IF(H306&gt;H308,0,H306*F306)</f>
        <v>0</v>
      </c>
    </row>
    <row r="307" spans="2:10" ht="15" customHeight="1" thickBot="1" x14ac:dyDescent="0.3">
      <c r="B307" s="175"/>
      <c r="C307" s="26"/>
      <c r="D307" s="26"/>
      <c r="E307" s="537"/>
      <c r="F307" s="177"/>
      <c r="G307" s="26"/>
      <c r="H307" s="479"/>
      <c r="I307" s="478"/>
    </row>
    <row r="308" spans="2:10" ht="15" customHeight="1" thickBot="1" x14ac:dyDescent="0.3">
      <c r="B308" s="175"/>
      <c r="C308" s="26"/>
      <c r="D308" s="26"/>
      <c r="E308" s="537" t="s">
        <v>617</v>
      </c>
      <c r="F308" s="26"/>
      <c r="G308" s="26"/>
      <c r="H308" s="750">
        <f>F12</f>
        <v>0</v>
      </c>
      <c r="I308" s="751"/>
    </row>
    <row r="309" spans="2:10" ht="15" customHeight="1" x14ac:dyDescent="0.25">
      <c r="B309" s="175"/>
      <c r="C309" s="26"/>
      <c r="D309" s="26"/>
      <c r="E309" s="180" t="s">
        <v>185</v>
      </c>
      <c r="F309" s="26"/>
      <c r="G309" s="26"/>
      <c r="H309" s="792" t="str">
        <f>IF(H308&lt;H306,"DGL-Fläche überschritten","")</f>
        <v/>
      </c>
      <c r="I309" s="793"/>
      <c r="J309" s="2" t="str">
        <f>IF(H309&lt;&gt;"","!","")</f>
        <v/>
      </c>
    </row>
    <row r="310" spans="2:10" ht="15" customHeight="1" thickBot="1" x14ac:dyDescent="0.3">
      <c r="B310" s="540"/>
      <c r="C310" s="116"/>
      <c r="D310" s="116"/>
      <c r="E310" s="531"/>
      <c r="F310" s="116"/>
      <c r="G310" s="116"/>
      <c r="H310" s="600"/>
      <c r="I310" s="601"/>
    </row>
    <row r="311" spans="2:10" ht="15" customHeight="1" x14ac:dyDescent="0.25">
      <c r="B311" s="175"/>
      <c r="C311" s="26"/>
      <c r="D311" s="26"/>
      <c r="E311" s="180"/>
      <c r="F311" s="26"/>
      <c r="G311" s="26"/>
      <c r="H311" s="594"/>
      <c r="I311" s="595"/>
    </row>
    <row r="312" spans="2:10" ht="15" customHeight="1" x14ac:dyDescent="0.25">
      <c r="B312" s="175"/>
      <c r="C312" s="780"/>
      <c r="D312" s="787" t="s">
        <v>670</v>
      </c>
      <c r="E312" s="787"/>
      <c r="F312" s="787"/>
      <c r="G312" s="26"/>
      <c r="H312" s="594"/>
      <c r="I312" s="595"/>
    </row>
    <row r="313" spans="2:10" ht="15" customHeight="1" x14ac:dyDescent="0.25">
      <c r="B313" s="553"/>
      <c r="C313" s="781"/>
      <c r="D313" s="788"/>
      <c r="E313" s="788"/>
      <c r="F313" s="788"/>
      <c r="G313" s="149"/>
      <c r="H313" s="602"/>
      <c r="I313" s="603"/>
    </row>
    <row r="314" spans="2:10" ht="15" customHeight="1" x14ac:dyDescent="0.25">
      <c r="B314" s="175"/>
      <c r="C314" s="26"/>
      <c r="D314" s="26"/>
      <c r="E314" s="180"/>
      <c r="F314" s="26"/>
      <c r="G314" s="26"/>
      <c r="H314" s="594"/>
      <c r="I314" s="595"/>
    </row>
    <row r="315" spans="2:10" ht="15" customHeight="1" x14ac:dyDescent="0.25">
      <c r="B315" s="175"/>
      <c r="C315" s="26"/>
      <c r="D315" s="798" t="s">
        <v>671</v>
      </c>
      <c r="E315" s="770" t="s">
        <v>666</v>
      </c>
      <c r="F315" s="770"/>
      <c r="G315" s="770"/>
      <c r="H315" s="594"/>
      <c r="I315" s="595"/>
    </row>
    <row r="316" spans="2:10" ht="15" customHeight="1" x14ac:dyDescent="0.25">
      <c r="B316" s="175"/>
      <c r="C316" s="26"/>
      <c r="D316" s="798"/>
      <c r="E316" s="770"/>
      <c r="F316" s="770"/>
      <c r="G316" s="770"/>
      <c r="H316" s="752" t="s">
        <v>94</v>
      </c>
      <c r="I316" s="754" t="s">
        <v>106</v>
      </c>
    </row>
    <row r="317" spans="2:10" ht="15" customHeight="1" thickBot="1" x14ac:dyDescent="0.3">
      <c r="B317" s="175"/>
      <c r="C317" s="26"/>
      <c r="D317" s="26"/>
      <c r="E317" s="180"/>
      <c r="F317" s="26"/>
      <c r="G317" s="26"/>
      <c r="H317" s="753"/>
      <c r="I317" s="755"/>
    </row>
    <row r="318" spans="2:10" ht="15" customHeight="1" thickBot="1" x14ac:dyDescent="0.3">
      <c r="B318" s="175"/>
      <c r="C318" s="26"/>
      <c r="D318" s="26"/>
      <c r="E318" s="593" t="s">
        <v>667</v>
      </c>
      <c r="F318" s="177">
        <f>HLOOKUP($M$12,Datengrundlage!AF131:AJ132,2,FALSE)</f>
        <v>40</v>
      </c>
      <c r="G318" s="26"/>
      <c r="H318" s="190">
        <v>0</v>
      </c>
      <c r="I318" s="102">
        <f>IF(H318&gt;H320,0,IF(H339&gt;0,0,H318*F318))</f>
        <v>0</v>
      </c>
    </row>
    <row r="319" spans="2:10" ht="15" customHeight="1" thickBot="1" x14ac:dyDescent="0.3">
      <c r="B319" s="175"/>
      <c r="C319" s="26"/>
      <c r="D319" s="26"/>
      <c r="E319" s="180"/>
      <c r="F319" s="26"/>
      <c r="G319" s="26"/>
      <c r="H319" s="613"/>
      <c r="I319" s="478"/>
    </row>
    <row r="320" spans="2:10" ht="15" customHeight="1" thickBot="1" x14ac:dyDescent="0.3">
      <c r="B320" s="175"/>
      <c r="C320" s="26"/>
      <c r="D320" s="26"/>
      <c r="E320" s="593" t="s">
        <v>617</v>
      </c>
      <c r="F320" s="26"/>
      <c r="G320" s="26"/>
      <c r="H320" s="750">
        <f>F12</f>
        <v>0</v>
      </c>
      <c r="I320" s="751"/>
    </row>
    <row r="321" spans="2:10" ht="15" customHeight="1" x14ac:dyDescent="0.25">
      <c r="B321" s="175"/>
      <c r="C321" s="26"/>
      <c r="D321" s="26"/>
      <c r="E321" s="180" t="s">
        <v>185</v>
      </c>
      <c r="F321" s="26"/>
      <c r="G321" s="26"/>
      <c r="H321" s="799" t="str">
        <f>IF(H320&lt;H318,"DGL-Fläche überschritten",IF(AND(H339&gt;0,H318&gt;0),"Doppelförderung mit Weidetierschutz",""))</f>
        <v/>
      </c>
      <c r="I321" s="800"/>
      <c r="J321" s="2" t="str">
        <f>IF(H321&lt;&gt;"","!","")</f>
        <v/>
      </c>
    </row>
    <row r="322" spans="2:10" ht="15" customHeight="1" x14ac:dyDescent="0.25">
      <c r="B322" s="553"/>
      <c r="C322" s="149"/>
      <c r="D322" s="149"/>
      <c r="E322" s="604"/>
      <c r="F322" s="149"/>
      <c r="G322" s="149"/>
      <c r="H322" s="801"/>
      <c r="I322" s="802"/>
    </row>
    <row r="323" spans="2:10" ht="15" customHeight="1" x14ac:dyDescent="0.25">
      <c r="B323" s="175"/>
      <c r="C323" s="26"/>
      <c r="D323" s="26"/>
      <c r="E323" s="180"/>
      <c r="F323" s="26"/>
      <c r="G323" s="26"/>
      <c r="H323" s="594"/>
      <c r="I323" s="595"/>
    </row>
    <row r="324" spans="2:10" ht="15" customHeight="1" x14ac:dyDescent="0.25">
      <c r="B324" s="175"/>
      <c r="C324" s="26"/>
      <c r="D324" s="798" t="s">
        <v>687</v>
      </c>
      <c r="E324" s="770" t="s">
        <v>672</v>
      </c>
      <c r="F324" s="770"/>
      <c r="G324" s="770"/>
      <c r="H324" s="770"/>
      <c r="I324" s="595"/>
    </row>
    <row r="325" spans="2:10" ht="15" customHeight="1" x14ac:dyDescent="0.25">
      <c r="B325" s="175"/>
      <c r="C325" s="26"/>
      <c r="D325" s="798"/>
      <c r="E325" s="770"/>
      <c r="F325" s="770"/>
      <c r="G325" s="770"/>
      <c r="H325" s="770"/>
      <c r="I325" s="754" t="s">
        <v>106</v>
      </c>
    </row>
    <row r="326" spans="2:10" ht="15" customHeight="1" thickBot="1" x14ac:dyDescent="0.3">
      <c r="B326" s="175"/>
      <c r="C326" s="26"/>
      <c r="D326" s="26"/>
      <c r="E326" s="180"/>
      <c r="F326" s="26"/>
      <c r="G326" s="26"/>
      <c r="H326" s="611" t="s">
        <v>303</v>
      </c>
      <c r="I326" s="755"/>
    </row>
    <row r="327" spans="2:10" ht="15" customHeight="1" thickBot="1" x14ac:dyDescent="0.3">
      <c r="B327" s="175"/>
      <c r="C327" s="26"/>
      <c r="D327" s="26"/>
      <c r="E327" s="593" t="s">
        <v>674</v>
      </c>
      <c r="F327" s="607">
        <f>HLOOKUP($M$12,Datengrundlage!AE134:AJ139,2,FALSE)</f>
        <v>1230</v>
      </c>
      <c r="G327" s="26"/>
      <c r="H327" s="609">
        <v>0</v>
      </c>
      <c r="I327" s="102">
        <f>F327*H327</f>
        <v>0</v>
      </c>
    </row>
    <row r="328" spans="2:10" ht="15" customHeight="1" thickBot="1" x14ac:dyDescent="0.3">
      <c r="B328" s="175"/>
      <c r="C328" s="26"/>
      <c r="D328" s="26"/>
      <c r="E328" s="529" t="s">
        <v>683</v>
      </c>
      <c r="F328" s="26"/>
      <c r="G328" s="26"/>
      <c r="H328" s="612"/>
      <c r="I328" s="595"/>
    </row>
    <row r="329" spans="2:10" ht="15" customHeight="1" thickBot="1" x14ac:dyDescent="0.3">
      <c r="B329" s="175"/>
      <c r="C329" s="26"/>
      <c r="D329" s="26"/>
      <c r="E329" s="618" t="s">
        <v>674</v>
      </c>
      <c r="F329" s="607">
        <f>HLOOKUP($M$12,Datengrundlage!AE134:AJ139,3,FALSE)</f>
        <v>760</v>
      </c>
      <c r="G329" s="26"/>
      <c r="H329" s="609">
        <v>0</v>
      </c>
      <c r="I329" s="102">
        <f>F329*H329</f>
        <v>0</v>
      </c>
    </row>
    <row r="330" spans="2:10" ht="15" customHeight="1" thickBot="1" x14ac:dyDescent="0.3">
      <c r="B330" s="175"/>
      <c r="C330" s="26"/>
      <c r="D330" s="26"/>
      <c r="E330" s="529" t="s">
        <v>694</v>
      </c>
      <c r="F330" s="26"/>
      <c r="G330" s="26"/>
      <c r="H330" s="615"/>
      <c r="I330" s="616"/>
    </row>
    <row r="331" spans="2:10" ht="15" customHeight="1" thickBot="1" x14ac:dyDescent="0.3">
      <c r="B331" s="175"/>
      <c r="C331" s="26"/>
      <c r="D331" s="26"/>
      <c r="E331" s="593" t="s">
        <v>674</v>
      </c>
      <c r="F331" s="620">
        <f>HLOOKUP($M$12,Datengrundlage!AE134:AJ139,4,FALSE)</f>
        <v>620</v>
      </c>
      <c r="H331" s="609">
        <v>0</v>
      </c>
      <c r="I331" s="102">
        <f>F331*H331</f>
        <v>0</v>
      </c>
    </row>
    <row r="332" spans="2:10" ht="15" customHeight="1" thickBot="1" x14ac:dyDescent="0.3">
      <c r="B332" s="175"/>
      <c r="C332" s="26"/>
      <c r="D332" s="26"/>
      <c r="E332" s="529" t="s">
        <v>693</v>
      </c>
      <c r="F332" s="26"/>
      <c r="G332" s="26"/>
      <c r="H332" s="594"/>
      <c r="I332" s="595"/>
    </row>
    <row r="333" spans="2:10" ht="15" customHeight="1" thickBot="1" x14ac:dyDescent="0.3">
      <c r="B333" s="175"/>
      <c r="C333" s="26"/>
      <c r="D333" s="26"/>
      <c r="E333" s="593" t="s">
        <v>675</v>
      </c>
      <c r="F333" s="605">
        <f>HLOOKUP($M$12,Datengrundlage!AE134:AJ139,5,FALSE)</f>
        <v>235</v>
      </c>
      <c r="G333" s="26"/>
      <c r="H333" s="609">
        <v>0</v>
      </c>
      <c r="I333" s="102">
        <f>F333*H333</f>
        <v>0</v>
      </c>
    </row>
    <row r="334" spans="2:10" ht="15" customHeight="1" thickBot="1" x14ac:dyDescent="0.3">
      <c r="B334" s="175"/>
      <c r="C334" s="26"/>
      <c r="D334" s="26"/>
      <c r="E334" s="180"/>
      <c r="F334" s="26"/>
      <c r="G334" s="26"/>
      <c r="H334" s="594"/>
      <c r="I334" s="595"/>
    </row>
    <row r="335" spans="2:10" ht="15" customHeight="1" thickBot="1" x14ac:dyDescent="0.3">
      <c r="B335" s="175"/>
      <c r="C335" s="26"/>
      <c r="D335" s="26"/>
      <c r="E335" s="593" t="s">
        <v>676</v>
      </c>
      <c r="F335" s="608">
        <f>HLOOKUP($M$12,Datengrundlage!AE134:AJ139,6,FALSE)</f>
        <v>1920</v>
      </c>
      <c r="G335" s="26"/>
      <c r="H335" s="610">
        <v>0</v>
      </c>
      <c r="I335" s="102">
        <f>F335*H335</f>
        <v>0</v>
      </c>
    </row>
    <row r="336" spans="2:10" ht="15" customHeight="1" thickBot="1" x14ac:dyDescent="0.3">
      <c r="B336" s="175"/>
      <c r="C336" s="26"/>
      <c r="D336" s="26"/>
      <c r="E336" s="593"/>
      <c r="F336" s="608"/>
      <c r="G336" s="26"/>
      <c r="H336" s="613"/>
      <c r="I336" s="478"/>
    </row>
    <row r="337" spans="2:10" ht="15" customHeight="1" thickBot="1" x14ac:dyDescent="0.3">
      <c r="B337" s="175"/>
      <c r="C337" s="26"/>
      <c r="D337" s="26"/>
      <c r="E337" s="593" t="s">
        <v>680</v>
      </c>
      <c r="F337" s="608"/>
      <c r="G337" s="26"/>
      <c r="H337" s="190">
        <v>0</v>
      </c>
      <c r="I337" s="478"/>
    </row>
    <row r="338" spans="2:10" ht="15" customHeight="1" thickBot="1" x14ac:dyDescent="0.3">
      <c r="B338" s="175"/>
      <c r="C338" s="26"/>
      <c r="D338" s="26"/>
      <c r="E338" s="593"/>
      <c r="F338" s="608"/>
      <c r="G338" s="26"/>
      <c r="H338" s="613"/>
      <c r="I338" s="478"/>
    </row>
    <row r="339" spans="2:10" ht="15" customHeight="1" thickBot="1" x14ac:dyDescent="0.3">
      <c r="B339" s="175"/>
      <c r="C339" s="26"/>
      <c r="D339" s="26" t="s">
        <v>684</v>
      </c>
      <c r="E339" s="593"/>
      <c r="F339" s="608"/>
      <c r="G339" s="26"/>
      <c r="H339" s="803">
        <f>IFERROR(SUM(I327:I335)/H337,0)</f>
        <v>0</v>
      </c>
      <c r="I339" s="804"/>
    </row>
    <row r="340" spans="2:10" ht="15" customHeight="1" x14ac:dyDescent="0.25">
      <c r="B340" s="175"/>
      <c r="C340" s="26"/>
      <c r="D340" s="26"/>
      <c r="E340" s="180"/>
      <c r="F340" s="26"/>
      <c r="G340" s="26"/>
      <c r="H340" s="799" t="str">
        <f>IF(H339&gt;450,"Maximal 450 € je ha beweidete Fläche förderfähig",IF(AND(SUM(I327:I335)&gt;0,H337&lt;=0),"Bitte beweidete Fläche eintragen",""))</f>
        <v/>
      </c>
      <c r="I340" s="800"/>
      <c r="J340" s="2" t="str">
        <f>IF(H340&lt;&gt;"","!","")</f>
        <v/>
      </c>
    </row>
    <row r="341" spans="2:10" ht="15" customHeight="1" thickBot="1" x14ac:dyDescent="0.35">
      <c r="B341" s="552"/>
      <c r="C341" s="27"/>
      <c r="D341" s="187"/>
      <c r="E341" s="27"/>
      <c r="F341" s="27"/>
      <c r="G341" s="27"/>
      <c r="H341" s="805"/>
      <c r="I341" s="806"/>
    </row>
    <row r="342" spans="2:10" ht="15" customHeight="1" thickTop="1" x14ac:dyDescent="0.25">
      <c r="B342" s="175"/>
      <c r="C342" s="26"/>
      <c r="D342" s="26"/>
      <c r="E342" s="26"/>
      <c r="F342" s="26"/>
      <c r="G342" s="26"/>
      <c r="H342" s="26"/>
      <c r="I342" s="176"/>
    </row>
    <row r="343" spans="2:10" ht="15" customHeight="1" x14ac:dyDescent="0.25">
      <c r="B343" s="175"/>
      <c r="C343" s="26"/>
      <c r="D343" s="269" t="s">
        <v>673</v>
      </c>
      <c r="E343" s="269"/>
      <c r="F343" s="269"/>
      <c r="G343" s="26"/>
      <c r="H343" s="794">
        <f ca="1">SUM(Übersicht!F38:F52)</f>
        <v>0</v>
      </c>
      <c r="I343" s="795"/>
    </row>
    <row r="344" spans="2:10" ht="15" customHeight="1" thickBot="1" x14ac:dyDescent="0.3">
      <c r="B344" s="540"/>
      <c r="C344" s="116"/>
      <c r="D344" s="270"/>
      <c r="E344" s="270"/>
      <c r="F344" s="270"/>
      <c r="G344" s="116"/>
      <c r="H344" s="515"/>
      <c r="I344" s="516"/>
    </row>
    <row r="345" spans="2:10" ht="15" customHeight="1" x14ac:dyDescent="0.25">
      <c r="D345" s="108"/>
      <c r="E345" s="108"/>
      <c r="F345" s="108"/>
      <c r="G345" s="108"/>
      <c r="H345" s="108"/>
      <c r="I345" s="108"/>
      <c r="J345" s="575"/>
    </row>
    <row r="346" spans="2:10" x14ac:dyDescent="0.25">
      <c r="C346" s="108" t="s">
        <v>512</v>
      </c>
      <c r="E346" s="108"/>
      <c r="F346" s="108"/>
      <c r="G346" s="108"/>
      <c r="H346" s="108"/>
      <c r="I346" s="108"/>
      <c r="J346" s="575"/>
    </row>
  </sheetData>
  <sheetProtection algorithmName="SHA-512" hashValue="dv8CfImr66CpMdG2lhTFbCJEmIUD297Bexu30yYOmstueGFaXc9I8CoPlVtY3ia5yU9lCUcQlP8PyVqYykJPgA==" saltValue="nLoxIkLVpqgZhZ2wp8YAvA==" spinCount="100000" sheet="1" selectLockedCells="1"/>
  <mergeCells count="99">
    <mergeCell ref="H339:I339"/>
    <mergeCell ref="I325:I326"/>
    <mergeCell ref="H340:I341"/>
    <mergeCell ref="D324:D325"/>
    <mergeCell ref="H320:I320"/>
    <mergeCell ref="H316:H317"/>
    <mergeCell ref="I316:I317"/>
    <mergeCell ref="E324:H325"/>
    <mergeCell ref="C312:C313"/>
    <mergeCell ref="D312:F313"/>
    <mergeCell ref="D315:D316"/>
    <mergeCell ref="E315:G316"/>
    <mergeCell ref="H321:I322"/>
    <mergeCell ref="H309:I309"/>
    <mergeCell ref="H343:I343"/>
    <mergeCell ref="C186:C187"/>
    <mergeCell ref="D186:F187"/>
    <mergeCell ref="C203:C204"/>
    <mergeCell ref="D203:F204"/>
    <mergeCell ref="D232:F233"/>
    <mergeCell ref="C232:C233"/>
    <mergeCell ref="D287:D288"/>
    <mergeCell ref="D235:D236"/>
    <mergeCell ref="E235:F236"/>
    <mergeCell ref="H237:H238"/>
    <mergeCell ref="I237:I238"/>
    <mergeCell ref="H304:H305"/>
    <mergeCell ref="I304:I305"/>
    <mergeCell ref="D303:D304"/>
    <mergeCell ref="C300:C301"/>
    <mergeCell ref="D300:F301"/>
    <mergeCell ref="G179:I180"/>
    <mergeCell ref="D174:E174"/>
    <mergeCell ref="D175:E175"/>
    <mergeCell ref="D176:E176"/>
    <mergeCell ref="E207:F208"/>
    <mergeCell ref="I209:I210"/>
    <mergeCell ref="F290:F291"/>
    <mergeCell ref="E290:E291"/>
    <mergeCell ref="D207:D208"/>
    <mergeCell ref="D189:D190"/>
    <mergeCell ref="E189:F190"/>
    <mergeCell ref="F280:I280"/>
    <mergeCell ref="H290:H291"/>
    <mergeCell ref="E131:F132"/>
    <mergeCell ref="D131:D132"/>
    <mergeCell ref="D166:D167"/>
    <mergeCell ref="E166:F167"/>
    <mergeCell ref="C19:C20"/>
    <mergeCell ref="D19:F20"/>
    <mergeCell ref="C58:C59"/>
    <mergeCell ref="D58:F59"/>
    <mergeCell ref="C163:C164"/>
    <mergeCell ref="D163:F164"/>
    <mergeCell ref="D147:D148"/>
    <mergeCell ref="E147:F148"/>
    <mergeCell ref="D26:E26"/>
    <mergeCell ref="D23:E23"/>
    <mergeCell ref="D24:E24"/>
    <mergeCell ref="D25:E25"/>
    <mergeCell ref="E61:F62"/>
    <mergeCell ref="H76:H77"/>
    <mergeCell ref="I76:I77"/>
    <mergeCell ref="H98:H99"/>
    <mergeCell ref="D115:D116"/>
    <mergeCell ref="E115:F116"/>
    <mergeCell ref="D61:D62"/>
    <mergeCell ref="D97:D98"/>
    <mergeCell ref="E97:F98"/>
    <mergeCell ref="F83:I83"/>
    <mergeCell ref="H308:I308"/>
    <mergeCell ref="E182:H183"/>
    <mergeCell ref="H273:H274"/>
    <mergeCell ref="I273:I274"/>
    <mergeCell ref="H171:H172"/>
    <mergeCell ref="I171:I172"/>
    <mergeCell ref="H178:I178"/>
    <mergeCell ref="I192:I193"/>
    <mergeCell ref="H196:H197"/>
    <mergeCell ref="I196:I197"/>
    <mergeCell ref="H209:H210"/>
    <mergeCell ref="E303:F304"/>
    <mergeCell ref="D173:E173"/>
    <mergeCell ref="E171:G171"/>
    <mergeCell ref="I290:I291"/>
    <mergeCell ref="H30:I30"/>
    <mergeCell ref="G276:I276"/>
    <mergeCell ref="H279:I279"/>
    <mergeCell ref="H21:H22"/>
    <mergeCell ref="I21:I22"/>
    <mergeCell ref="I98:I99"/>
    <mergeCell ref="H192:H193"/>
    <mergeCell ref="H148:H149"/>
    <mergeCell ref="I148:I149"/>
    <mergeCell ref="H116:H117"/>
    <mergeCell ref="I116:I117"/>
    <mergeCell ref="I132:I133"/>
    <mergeCell ref="H132:H133"/>
    <mergeCell ref="H73:I74"/>
  </mergeCells>
  <conditionalFormatting sqref="C273">
    <cfRule type="expression" dxfId="25" priority="2">
      <formula>$J$263="!"</formula>
    </cfRule>
    <cfRule type="expression" dxfId="24" priority="3">
      <formula>$J$259="!"</formula>
    </cfRule>
    <cfRule type="expression" dxfId="23" priority="4">
      <formula>$J$254="!"</formula>
    </cfRule>
  </conditionalFormatting>
  <conditionalFormatting sqref="E254">
    <cfRule type="expression" dxfId="22" priority="7">
      <formula>$J$254="!"</formula>
    </cfRule>
  </conditionalFormatting>
  <conditionalFormatting sqref="E259">
    <cfRule type="expression" dxfId="21" priority="6">
      <formula>$J$259="!"</formula>
    </cfRule>
  </conditionalFormatting>
  <conditionalFormatting sqref="E263">
    <cfRule type="expression" dxfId="20" priority="5">
      <formula>$J$263="!"</formula>
    </cfRule>
  </conditionalFormatting>
  <conditionalFormatting sqref="H30:I30">
    <cfRule type="cellIs" dxfId="19" priority="1" operator="lessThan">
      <formula>0</formula>
    </cfRule>
  </conditionalFormatting>
  <dataValidations count="2">
    <dataValidation type="list" allowBlank="1" showInputMessage="1" showErrorMessage="1" sqref="I32" xr:uid="{00000000-0002-0000-0400-000000000000}">
      <formula1>umstellung</formula1>
    </dataValidation>
    <dataValidation type="list" allowBlank="1" showInputMessage="1" showErrorMessage="1" sqref="H78:H80 H82" xr:uid="{00000000-0002-0000-0400-000001000000}">
      <formula1>TN_OER2u4</formula1>
    </dataValidation>
  </dataValidations>
  <pageMargins left="0.70866141732283472" right="0.70866141732283472" top="0.78740157480314965" bottom="0.78740157480314965" header="0.31496062992125984" footer="0.31496062992125984"/>
  <pageSetup paperSize="9" scale="51" fitToHeight="4" orientation="portrait" r:id="rId1"/>
  <headerFooter>
    <oddFooter>&amp;L&amp;8&amp;A&amp;C&amp;8Seite: &amp;P&amp;R&amp;8&amp;F</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2000000}">
          <x14:formula1>
            <xm:f>Datengrundlage!$AS$4:$AU$4</xm:f>
          </x14:formula1>
          <xm:sqref>Q12</xm:sqref>
        </x14:dataValidation>
        <x14:dataValidation type="list" allowBlank="1" showInputMessage="1" showErrorMessage="1" xr:uid="{00000000-0002-0000-0400-000003000000}">
          <x14:formula1>
            <xm:f>Datengrundlage!$AS$14:$AY$14</xm:f>
          </x14:formula1>
          <xm:sqref>D173:E176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4">
    <pageSetUpPr fitToPage="1"/>
  </sheetPr>
  <dimension ref="B2:L57"/>
  <sheetViews>
    <sheetView showGridLines="0" zoomScaleNormal="100" workbookViewId="0">
      <pane xSplit="2" ySplit="9" topLeftCell="C10" activePane="bottomRight" state="frozen"/>
      <selection activeCell="B30" sqref="B30:F43"/>
      <selection pane="topRight" activeCell="B30" sqref="B30:F43"/>
      <selection pane="bottomLeft" activeCell="B30" sqref="B30:F43"/>
      <selection pane="bottomRight"/>
    </sheetView>
  </sheetViews>
  <sheetFormatPr baseColWidth="10" defaultRowHeight="13.8" x14ac:dyDescent="0.25"/>
  <cols>
    <col min="1" max="1" width="6" customWidth="1"/>
    <col min="2" max="2" width="7.59765625" customWidth="1"/>
    <col min="3" max="3" width="47.5" customWidth="1"/>
    <col min="4" max="4" width="5.09765625" customWidth="1"/>
    <col min="6" max="6" width="16" customWidth="1"/>
    <col min="7" max="7" width="3.69921875" customWidth="1"/>
  </cols>
  <sheetData>
    <row r="2" spans="2:12" ht="21" x14ac:dyDescent="0.4">
      <c r="B2" s="3" t="s">
        <v>704</v>
      </c>
    </row>
    <row r="3" spans="2:12" ht="15.6" x14ac:dyDescent="0.3">
      <c r="B3" s="97" t="s">
        <v>533</v>
      </c>
      <c r="G3" s="2"/>
    </row>
    <row r="4" spans="2:12" ht="15.6" x14ac:dyDescent="0.3">
      <c r="B4" s="97"/>
      <c r="G4" s="2"/>
    </row>
    <row r="5" spans="2:12" ht="15.6" x14ac:dyDescent="0.3">
      <c r="B5" s="809" t="s">
        <v>219</v>
      </c>
      <c r="C5" s="809"/>
      <c r="D5" t="str">
        <f>IF(Basisprämie!H7=0,"",Basisprämie!H7)</f>
        <v/>
      </c>
      <c r="G5" s="2"/>
    </row>
    <row r="6" spans="2:12" ht="15.6" x14ac:dyDescent="0.3">
      <c r="B6" s="97" t="s">
        <v>206</v>
      </c>
      <c r="D6" t="str">
        <f>IF(Basisprämie!H9=0,"",Basisprämie!H9)</f>
        <v/>
      </c>
      <c r="G6" s="2"/>
    </row>
    <row r="7" spans="2:12" ht="14.4" thickBot="1" x14ac:dyDescent="0.3"/>
    <row r="8" spans="2:12" ht="16.2" thickTop="1" x14ac:dyDescent="0.25">
      <c r="B8" s="117"/>
      <c r="C8" s="35"/>
      <c r="D8" s="35"/>
      <c r="E8" s="807">
        <f>Basisprämie!C42</f>
        <v>2026</v>
      </c>
      <c r="F8" s="808"/>
    </row>
    <row r="9" spans="2:12" x14ac:dyDescent="0.25">
      <c r="B9" s="89"/>
      <c r="C9" s="26"/>
      <c r="D9" s="26"/>
      <c r="E9" s="130" t="s">
        <v>37</v>
      </c>
      <c r="F9" s="110" t="s">
        <v>43</v>
      </c>
    </row>
    <row r="10" spans="2:12" ht="2.25" customHeight="1" x14ac:dyDescent="0.25">
      <c r="B10" s="89"/>
      <c r="C10" s="26"/>
      <c r="D10" s="26"/>
      <c r="E10" s="111"/>
      <c r="F10" s="118"/>
    </row>
    <row r="11" spans="2:12" ht="15.6" x14ac:dyDescent="0.3">
      <c r="B11" s="119" t="s">
        <v>193</v>
      </c>
      <c r="C11" s="26"/>
      <c r="D11" s="26"/>
      <c r="E11" s="26"/>
      <c r="F11" s="85"/>
    </row>
    <row r="12" spans="2:12" ht="6" customHeight="1" x14ac:dyDescent="0.25">
      <c r="B12" s="89"/>
      <c r="C12" s="26"/>
      <c r="D12" s="26"/>
      <c r="E12" s="26"/>
      <c r="F12" s="85"/>
    </row>
    <row r="13" spans="2:12" ht="18.75" customHeight="1" x14ac:dyDescent="0.25">
      <c r="B13" s="89"/>
      <c r="C13" s="7" t="s">
        <v>2</v>
      </c>
      <c r="D13" s="7"/>
      <c r="E13" s="120">
        <f>Basisprämie!D44</f>
        <v>147</v>
      </c>
      <c r="F13" s="492">
        <f>Basisprämie!E44</f>
        <v>0</v>
      </c>
    </row>
    <row r="14" spans="2:12" ht="18.75" customHeight="1" x14ac:dyDescent="0.25">
      <c r="B14" s="89"/>
      <c r="C14" s="7" t="s">
        <v>618</v>
      </c>
      <c r="D14" s="7"/>
      <c r="E14" s="120">
        <f>Basisprämie!D48</f>
        <v>67</v>
      </c>
      <c r="F14" s="492">
        <f>Basisprämie!E48</f>
        <v>0</v>
      </c>
    </row>
    <row r="15" spans="2:12" ht="18.75" customHeight="1" x14ac:dyDescent="0.25">
      <c r="B15" s="89"/>
      <c r="C15" s="7" t="s">
        <v>619</v>
      </c>
      <c r="D15" s="7"/>
      <c r="E15" s="120">
        <f>Basisprämie!D49</f>
        <v>39</v>
      </c>
      <c r="F15" s="492">
        <f>Basisprämie!E49</f>
        <v>0</v>
      </c>
      <c r="L15" s="6"/>
    </row>
    <row r="16" spans="2:12" ht="18.75" customHeight="1" x14ac:dyDescent="0.25">
      <c r="B16" s="89"/>
      <c r="C16" s="7" t="s">
        <v>3</v>
      </c>
      <c r="D16" s="7"/>
      <c r="E16" s="120">
        <f>Basisprämie!D52</f>
        <v>134</v>
      </c>
      <c r="F16" s="492">
        <f>Basisprämie!E52</f>
        <v>0</v>
      </c>
      <c r="L16" s="6"/>
    </row>
    <row r="17" spans="2:12" ht="18.75" customHeight="1" thickBot="1" x14ac:dyDescent="0.3">
      <c r="B17" s="125"/>
      <c r="C17" s="46" t="s">
        <v>28</v>
      </c>
      <c r="D17" s="46"/>
      <c r="E17" s="126"/>
      <c r="F17" s="493">
        <f ca="1">SUM(Basisprämie!E55:E57)</f>
        <v>0</v>
      </c>
      <c r="G17" s="481" t="str">
        <f ca="1">IF(Basisprämie!M37="","","!")</f>
        <v/>
      </c>
      <c r="L17" s="7"/>
    </row>
    <row r="18" spans="2:12" ht="4.5" customHeight="1" x14ac:dyDescent="0.25">
      <c r="B18" s="89"/>
      <c r="C18" s="7"/>
      <c r="D18" s="7"/>
      <c r="E18" s="120"/>
      <c r="F18" s="492"/>
      <c r="L18" s="7"/>
    </row>
    <row r="19" spans="2:12" ht="18.75" customHeight="1" x14ac:dyDescent="0.25">
      <c r="B19" s="89"/>
      <c r="C19" s="122" t="s">
        <v>197</v>
      </c>
      <c r="D19" s="7"/>
      <c r="E19" s="124">
        <f ca="1">Basisprämie!D58</f>
        <v>0</v>
      </c>
      <c r="F19" s="494">
        <f ca="1">Basisprämie!E58</f>
        <v>0</v>
      </c>
      <c r="L19" s="7"/>
    </row>
    <row r="20" spans="2:12" ht="18.75" customHeight="1" x14ac:dyDescent="0.25">
      <c r="B20" s="89"/>
      <c r="C20" s="26"/>
      <c r="D20" s="26"/>
      <c r="E20" s="121"/>
      <c r="F20" s="495"/>
    </row>
    <row r="21" spans="2:12" ht="18.75" customHeight="1" x14ac:dyDescent="0.3">
      <c r="B21" s="119" t="s">
        <v>194</v>
      </c>
      <c r="C21" s="26"/>
      <c r="D21" s="26"/>
      <c r="E21" s="121"/>
      <c r="F21" s="495"/>
    </row>
    <row r="22" spans="2:12" ht="6" customHeight="1" x14ac:dyDescent="0.25">
      <c r="B22" s="89"/>
      <c r="C22" s="26"/>
      <c r="D22" s="26"/>
      <c r="E22" s="121"/>
      <c r="F22" s="495"/>
    </row>
    <row r="23" spans="2:12" ht="18.75" customHeight="1" x14ac:dyDescent="0.25">
      <c r="B23" s="88" t="s">
        <v>51</v>
      </c>
      <c r="C23" s="7" t="s">
        <v>55</v>
      </c>
      <c r="D23" s="7"/>
      <c r="E23" s="120"/>
      <c r="F23" s="492">
        <f>'Öko-Regelungen'!L23</f>
        <v>0</v>
      </c>
      <c r="G23" s="481" t="str">
        <f>IF(AND('Öko-Regelungen'!M23="",'Öko-Regelungen'!N24&lt;&gt;"!"),"",IF(AND('Öko-Regelungen'!M23&lt;&gt;"",'Öko-Regelungen'!M26&lt;&gt;"",'Öko-Regelungen'!N24&lt;&gt;"!"),"","!"))</f>
        <v/>
      </c>
    </row>
    <row r="24" spans="2:12" ht="18.75" customHeight="1" x14ac:dyDescent="0.25">
      <c r="B24" s="88" t="s">
        <v>52</v>
      </c>
      <c r="C24" s="7" t="s">
        <v>63</v>
      </c>
      <c r="D24" s="7"/>
      <c r="E24" s="120"/>
      <c r="F24" s="492">
        <f>'Öko-Regelungen'!L28</f>
        <v>0</v>
      </c>
      <c r="G24" s="481" t="str">
        <f>IF('Öko-Regelungen'!M28="","","!")</f>
        <v/>
      </c>
    </row>
    <row r="25" spans="2:12" ht="18.75" customHeight="1" x14ac:dyDescent="0.25">
      <c r="B25" s="88" t="s">
        <v>53</v>
      </c>
      <c r="C25" s="7" t="s">
        <v>54</v>
      </c>
      <c r="D25" s="7"/>
      <c r="E25" s="120"/>
      <c r="F25" s="492">
        <f>'Öko-Regelungen'!L32</f>
        <v>0</v>
      </c>
      <c r="G25" s="481" t="str">
        <f>IF('Öko-Regelungen'!M32="","","!")</f>
        <v/>
      </c>
    </row>
    <row r="26" spans="2:12" ht="18.75" customHeight="1" x14ac:dyDescent="0.25">
      <c r="B26" s="88" t="s">
        <v>56</v>
      </c>
      <c r="C26" s="7" t="s">
        <v>57</v>
      </c>
      <c r="D26" s="7"/>
      <c r="E26" s="120"/>
      <c r="F26" s="492">
        <f>'Öko-Regelungen'!L38</f>
        <v>0</v>
      </c>
      <c r="G26" s="481" t="str">
        <f>IF(OR('Öko-Regelungen'!M38="Fläche von 6 % oder 1-ha Regelung überschritten!",'Öko-Regelungen'!M38="Mindestfläche von 0,1 ha nicht erreicht",'Öko-Regelungen'!M38="Keine Grünlandfläche im Blatt Basisprämie eingetragen"),"!","")</f>
        <v/>
      </c>
    </row>
    <row r="27" spans="2:12" ht="18.75" customHeight="1" x14ac:dyDescent="0.25">
      <c r="B27" s="88">
        <v>2</v>
      </c>
      <c r="C27" s="7" t="s">
        <v>58</v>
      </c>
      <c r="D27" s="7"/>
      <c r="E27" s="120"/>
      <c r="F27" s="492">
        <f>'Öko-Regelungen'!L44</f>
        <v>0</v>
      </c>
      <c r="G27" s="481"/>
    </row>
    <row r="28" spans="2:12" ht="18.75" customHeight="1" x14ac:dyDescent="0.25">
      <c r="B28" s="88">
        <v>3</v>
      </c>
      <c r="C28" s="7" t="s">
        <v>59</v>
      </c>
      <c r="D28" s="7"/>
      <c r="E28" s="120"/>
      <c r="F28" s="492">
        <f>'Öko-Regelungen'!L48</f>
        <v>0</v>
      </c>
      <c r="G28" s="481"/>
    </row>
    <row r="29" spans="2:12" ht="18.75" customHeight="1" x14ac:dyDescent="0.25">
      <c r="B29" s="88">
        <v>4</v>
      </c>
      <c r="C29" s="7" t="s">
        <v>60</v>
      </c>
      <c r="D29" s="7"/>
      <c r="E29" s="120"/>
      <c r="F29" s="492">
        <f>'Öko-Regelungen'!L52</f>
        <v>0</v>
      </c>
      <c r="G29" s="481" t="str">
        <f>IF('Öko-Regelungen'!M52="","","!")</f>
        <v/>
      </c>
    </row>
    <row r="30" spans="2:12" ht="18.75" customHeight="1" x14ac:dyDescent="0.25">
      <c r="B30" s="88">
        <v>5</v>
      </c>
      <c r="C30" s="7" t="s">
        <v>61</v>
      </c>
      <c r="D30" s="7"/>
      <c r="E30" s="120"/>
      <c r="F30" s="492">
        <f>'Öko-Regelungen'!L57</f>
        <v>0</v>
      </c>
      <c r="G30" s="481" t="str">
        <f>IF('Öko-Regelungen'!M57="","","!")</f>
        <v/>
      </c>
    </row>
    <row r="31" spans="2:12" ht="18.75" customHeight="1" x14ac:dyDescent="0.25">
      <c r="B31" s="88">
        <v>6</v>
      </c>
      <c r="C31" s="7" t="s">
        <v>62</v>
      </c>
      <c r="D31" s="7"/>
      <c r="E31" s="120"/>
      <c r="F31" s="492">
        <f>'Öko-Regelungen'!L62+'Öko-Regelungen'!L64</f>
        <v>0</v>
      </c>
      <c r="G31" s="481" t="str">
        <f>IF('Öko-Regelungen'!M64="","","!")</f>
        <v/>
      </c>
    </row>
    <row r="32" spans="2:12" ht="18.75" customHeight="1" thickBot="1" x14ac:dyDescent="0.3">
      <c r="B32" s="127">
        <v>7</v>
      </c>
      <c r="C32" s="46" t="s">
        <v>505</v>
      </c>
      <c r="D32" s="46"/>
      <c r="E32" s="126"/>
      <c r="F32" s="493">
        <f>'Öko-Regelungen'!L68</f>
        <v>0</v>
      </c>
      <c r="G32" s="481"/>
    </row>
    <row r="33" spans="2:7" ht="4.5" customHeight="1" x14ac:dyDescent="0.25">
      <c r="B33" s="88"/>
      <c r="C33" s="7"/>
      <c r="D33" s="7"/>
      <c r="E33" s="120"/>
      <c r="F33" s="492"/>
      <c r="G33" s="481"/>
    </row>
    <row r="34" spans="2:7" ht="18.75" customHeight="1" x14ac:dyDescent="0.25">
      <c r="B34" s="88"/>
      <c r="C34" s="122" t="s">
        <v>198</v>
      </c>
      <c r="D34" s="7"/>
      <c r="E34" s="123"/>
      <c r="F34" s="496">
        <f>SUM(F23:F32)</f>
        <v>0</v>
      </c>
      <c r="G34" s="481"/>
    </row>
    <row r="35" spans="2:7" ht="18.75" customHeight="1" x14ac:dyDescent="0.25">
      <c r="B35" s="88"/>
      <c r="C35" s="26"/>
      <c r="D35" s="26"/>
      <c r="E35" s="121"/>
      <c r="F35" s="495"/>
      <c r="G35" s="481"/>
    </row>
    <row r="36" spans="2:7" ht="18.75" customHeight="1" x14ac:dyDescent="0.3">
      <c r="B36" s="119" t="s">
        <v>620</v>
      </c>
      <c r="C36" s="26"/>
      <c r="D36" s="26"/>
      <c r="E36" s="121"/>
      <c r="F36" s="495"/>
      <c r="G36" s="481"/>
    </row>
    <row r="37" spans="2:7" ht="6" customHeight="1" x14ac:dyDescent="0.25">
      <c r="B37" s="89"/>
      <c r="C37" s="26"/>
      <c r="D37" s="26"/>
      <c r="E37" s="121"/>
      <c r="F37" s="495"/>
      <c r="G37" s="481"/>
    </row>
    <row r="38" spans="2:7" ht="18.75" customHeight="1" x14ac:dyDescent="0.25">
      <c r="B38" s="24" t="s">
        <v>88</v>
      </c>
      <c r="C38" s="7" t="str">
        <f>'HALM 2'!D19</f>
        <v>Förderung der Beibehaltung des ökologischen Landbaus</v>
      </c>
      <c r="D38" s="7"/>
      <c r="E38" s="120"/>
      <c r="F38" s="492">
        <f>IFERROR(IF((SUM('HALM 2'!I23:I28)+SUM('HALM 2'!I36:I55))&lt;0,0,(SUM('HALM 2'!I23:I28)+SUM('HALM 2'!I36:I55))),0)</f>
        <v>0</v>
      </c>
      <c r="G38" s="481" t="str">
        <f>'HALM 2'!J31</f>
        <v/>
      </c>
    </row>
    <row r="39" spans="2:7" ht="18.75" customHeight="1" x14ac:dyDescent="0.25">
      <c r="B39" s="24" t="s">
        <v>114</v>
      </c>
      <c r="C39" s="7" t="s">
        <v>115</v>
      </c>
      <c r="D39" s="7"/>
      <c r="E39" s="120"/>
      <c r="F39" s="492">
        <f>SUM('HALM 2'!I78:I82)+SUM('HALM 2'!I86:I92)</f>
        <v>0</v>
      </c>
      <c r="G39" s="481" t="str">
        <f>IF(OR('HALM 2'!J74="!",'HALM 2'!J83="!",'HALM 2'!J72="!"),"!","")</f>
        <v/>
      </c>
    </row>
    <row r="40" spans="2:7" ht="18.75" customHeight="1" x14ac:dyDescent="0.25">
      <c r="B40" s="24" t="s">
        <v>116</v>
      </c>
      <c r="C40" s="7" t="s">
        <v>117</v>
      </c>
      <c r="D40" s="7"/>
      <c r="E40" s="120"/>
      <c r="F40" s="492">
        <f>IFERROR(IF(SUM('HALM 2'!I100:I111)&lt;0,0,(SUM('HALM 2'!I100:I111))),0)</f>
        <v>0</v>
      </c>
      <c r="G40" s="481" t="str">
        <f>IF('HALM 2'!H101="","","!")</f>
        <v/>
      </c>
    </row>
    <row r="41" spans="2:7" ht="18.75" customHeight="1" x14ac:dyDescent="0.25">
      <c r="B41" s="24" t="s">
        <v>121</v>
      </c>
      <c r="C41" s="7" t="s">
        <v>122</v>
      </c>
      <c r="D41" s="7"/>
      <c r="E41" s="120"/>
      <c r="F41" s="492">
        <f>IFERROR(IF(SUM('HALM 2'!I118:I127)&lt;0,0,SUM('HALM 2'!I118:I127)),0)</f>
        <v>0</v>
      </c>
      <c r="G41" s="481" t="str">
        <f>IF('HALM 2'!H119="","","!")</f>
        <v/>
      </c>
    </row>
    <row r="42" spans="2:7" ht="18.75" customHeight="1" x14ac:dyDescent="0.25">
      <c r="B42" s="24" t="s">
        <v>123</v>
      </c>
      <c r="C42" s="7" t="s">
        <v>124</v>
      </c>
      <c r="D42" s="7"/>
      <c r="E42" s="120"/>
      <c r="F42" s="492">
        <f>IFERROR(IF(SUM('HALM 2'!I134:I143)&lt;0,0,(SUM('HALM 2'!I134:I143))),0)</f>
        <v>0</v>
      </c>
      <c r="G42" s="481" t="str">
        <f>IF('HALM 2'!H135="","","!")</f>
        <v/>
      </c>
    </row>
    <row r="43" spans="2:7" ht="18.75" customHeight="1" x14ac:dyDescent="0.25">
      <c r="B43" s="24" t="s">
        <v>125</v>
      </c>
      <c r="C43" s="7" t="s">
        <v>126</v>
      </c>
      <c r="D43" s="7"/>
      <c r="E43" s="120"/>
      <c r="F43" s="492">
        <f>IFERROR(IF(SUM('HALM 2'!I150:I159)&lt;0,0,SUM('HALM 2'!I150:I159)),0)</f>
        <v>0</v>
      </c>
      <c r="G43" s="481" t="str">
        <f>IF('HALM 2'!H151="","","!")</f>
        <v/>
      </c>
    </row>
    <row r="44" spans="2:7" ht="18.75" customHeight="1" x14ac:dyDescent="0.25">
      <c r="B44" s="24" t="s">
        <v>633</v>
      </c>
      <c r="C44" s="7" t="s">
        <v>629</v>
      </c>
      <c r="D44" s="7"/>
      <c r="E44" s="120"/>
      <c r="F44" s="492">
        <f>IFERROR(IF(SUM('HALM 2'!I170:I180)&lt;0,0,SUM('HALM 2'!I170:I180)),0)</f>
        <v>0</v>
      </c>
      <c r="G44" s="481" t="str">
        <f>IF(OR('HALM 2'!J180&lt;&gt;"",'HALM 2'!J182&lt;&gt;"",'HALM 2'!J177&lt;&gt;""),"!","")</f>
        <v/>
      </c>
    </row>
    <row r="45" spans="2:7" ht="18.75" customHeight="1" x14ac:dyDescent="0.25">
      <c r="B45" s="24" t="s">
        <v>139</v>
      </c>
      <c r="C45" s="7" t="s">
        <v>195</v>
      </c>
      <c r="D45" s="7"/>
      <c r="E45" s="120"/>
      <c r="F45" s="492">
        <f>SUM('HALM 2'!I194)</f>
        <v>0</v>
      </c>
      <c r="G45" s="481"/>
    </row>
    <row r="46" spans="2:7" ht="18.75" customHeight="1" x14ac:dyDescent="0.25">
      <c r="B46" s="24" t="s">
        <v>626</v>
      </c>
      <c r="C46" s="7" t="s">
        <v>196</v>
      </c>
      <c r="D46" s="7"/>
      <c r="E46" s="120"/>
      <c r="F46" s="492">
        <f>SUM('HALM 2'!I198:I199)</f>
        <v>0</v>
      </c>
      <c r="G46" s="481"/>
    </row>
    <row r="47" spans="2:7" ht="18.75" customHeight="1" x14ac:dyDescent="0.25">
      <c r="B47" s="24" t="s">
        <v>147</v>
      </c>
      <c r="C47" s="7" t="s">
        <v>148</v>
      </c>
      <c r="D47" s="7"/>
      <c r="E47" s="120"/>
      <c r="F47" s="492">
        <f>SUM('HALM 2'!I211:I228)</f>
        <v>0</v>
      </c>
      <c r="G47" s="481"/>
    </row>
    <row r="48" spans="2:7" ht="18.75" customHeight="1" x14ac:dyDescent="0.25">
      <c r="B48" s="24" t="s">
        <v>152</v>
      </c>
      <c r="C48" s="7" t="s">
        <v>153</v>
      </c>
      <c r="D48" s="7"/>
      <c r="E48" s="120"/>
      <c r="F48" s="492">
        <f ca="1">IFERROR(IF((SUM('HALM 2'!I239:I271)+SUM('HALM 2'!I283:I283))&lt;0,0,SUM('HALM 2'!I239:I271)+SUM('HALM 2'!I283:I283)),0)</f>
        <v>0</v>
      </c>
      <c r="G48" s="481" t="str">
        <f ca="1">IF(OR('HALM 2'!J276&lt;&gt;"",'HALM 2'!J280&lt;&gt;"",'HALM 2'!J254&lt;&gt;"",'HALM 2'!J259&lt;&gt;"",'HALM 2'!J263&lt;&gt;""),"!","")</f>
        <v/>
      </c>
    </row>
    <row r="49" spans="2:7" ht="18.75" customHeight="1" x14ac:dyDescent="0.25">
      <c r="B49" s="24" t="s">
        <v>519</v>
      </c>
      <c r="C49" s="7" t="s">
        <v>520</v>
      </c>
      <c r="D49" s="7"/>
      <c r="E49" s="120"/>
      <c r="F49" s="492">
        <f>SUM('HALM 2'!I292:I296)</f>
        <v>0</v>
      </c>
      <c r="G49" s="481"/>
    </row>
    <row r="50" spans="2:7" ht="18.75" customHeight="1" x14ac:dyDescent="0.25">
      <c r="B50" s="24" t="s">
        <v>621</v>
      </c>
      <c r="C50" s="7" t="s">
        <v>622</v>
      </c>
      <c r="D50" s="7"/>
      <c r="E50" s="120"/>
      <c r="F50" s="492">
        <f>'HALM 2'!I306</f>
        <v>0</v>
      </c>
      <c r="G50" s="481" t="str">
        <f>'HALM 2'!J309</f>
        <v/>
      </c>
    </row>
    <row r="51" spans="2:7" ht="18.75" customHeight="1" x14ac:dyDescent="0.25">
      <c r="B51" s="24" t="s">
        <v>671</v>
      </c>
      <c r="C51" s="7" t="s">
        <v>666</v>
      </c>
      <c r="D51" s="7"/>
      <c r="E51" s="120"/>
      <c r="F51" s="492">
        <f>'HALM 2'!I318</f>
        <v>0</v>
      </c>
      <c r="G51" s="481" t="str">
        <f>'HALM 2'!J321</f>
        <v/>
      </c>
    </row>
    <row r="52" spans="2:7" ht="18.75" customHeight="1" x14ac:dyDescent="0.25">
      <c r="B52" s="24" t="s">
        <v>687</v>
      </c>
      <c r="C52" s="7" t="s">
        <v>672</v>
      </c>
      <c r="D52" s="7"/>
      <c r="E52" s="120"/>
      <c r="F52" s="492">
        <f>IF('HALM 2'!H340&lt;&gt;"",'HALM 2'!H337*450,SUM('HALM 2'!I327:I335))</f>
        <v>0</v>
      </c>
      <c r="G52" s="481" t="str">
        <f>'HALM 2'!J340</f>
        <v/>
      </c>
    </row>
    <row r="53" spans="2:7" ht="4.5" customHeight="1" thickBot="1" x14ac:dyDescent="0.3">
      <c r="B53" s="45"/>
      <c r="C53" s="46"/>
      <c r="D53" s="46"/>
      <c r="E53" s="126"/>
      <c r="F53" s="493"/>
      <c r="G53" s="481"/>
    </row>
    <row r="54" spans="2:7" ht="18.75" customHeight="1" x14ac:dyDescent="0.25">
      <c r="B54" s="24"/>
      <c r="C54" s="122" t="s">
        <v>623</v>
      </c>
      <c r="D54" s="122"/>
      <c r="E54" s="124"/>
      <c r="F54" s="494">
        <f ca="1">SUM(F38:F52)</f>
        <v>0</v>
      </c>
      <c r="G54" s="481"/>
    </row>
    <row r="55" spans="2:7" ht="18.75" customHeight="1" x14ac:dyDescent="0.25">
      <c r="B55" s="24"/>
      <c r="C55" s="7"/>
      <c r="D55" s="7"/>
      <c r="E55" s="7"/>
      <c r="F55" s="497"/>
      <c r="G55" s="481"/>
    </row>
    <row r="56" spans="2:7" ht="30.75" customHeight="1" thickBot="1" x14ac:dyDescent="0.3">
      <c r="B56" s="128" t="s">
        <v>692</v>
      </c>
      <c r="C56" s="28"/>
      <c r="D56" s="28"/>
      <c r="E56" s="129"/>
      <c r="F56" s="498">
        <f ca="1">F19+F34+F54</f>
        <v>0</v>
      </c>
      <c r="G56" s="481"/>
    </row>
    <row r="57" spans="2:7" ht="14.4" thickTop="1" x14ac:dyDescent="0.25"/>
  </sheetData>
  <sheetProtection algorithmName="SHA-512" hashValue="pVqGpwqLNcBnLNpTya68TnBzzNvCSOwxG9yFUI9wjtnPxh7gogfUTheelXQ2vb8HhBpV1yvBeOa11edoA/jIWQ==" saltValue="tlw6ZFO6sYFJg1dNlbriPQ==" spinCount="100000" sheet="1" selectLockedCells="1"/>
  <mergeCells count="2">
    <mergeCell ref="E8:F8"/>
    <mergeCell ref="B5:C5"/>
  </mergeCells>
  <conditionalFormatting sqref="F17">
    <cfRule type="expression" dxfId="18" priority="7">
      <formula>$G$17="!"</formula>
    </cfRule>
  </conditionalFormatting>
  <conditionalFormatting sqref="F23">
    <cfRule type="expression" dxfId="17" priority="23">
      <formula>$G$23="!"</formula>
    </cfRule>
  </conditionalFormatting>
  <conditionalFormatting sqref="F24">
    <cfRule type="expression" dxfId="16" priority="22">
      <formula>$G$24="!"</formula>
    </cfRule>
  </conditionalFormatting>
  <conditionalFormatting sqref="F25">
    <cfRule type="expression" dxfId="15" priority="21">
      <formula>$G$25="!"</formula>
    </cfRule>
  </conditionalFormatting>
  <conditionalFormatting sqref="F26">
    <cfRule type="expression" dxfId="14" priority="20">
      <formula>$G$26="!"</formula>
    </cfRule>
  </conditionalFormatting>
  <conditionalFormatting sqref="F29">
    <cfRule type="expression" dxfId="13" priority="19">
      <formula>$G$29="!"</formula>
    </cfRule>
  </conditionalFormatting>
  <conditionalFormatting sqref="F30">
    <cfRule type="expression" dxfId="12" priority="18">
      <formula>$G$30="!"</formula>
    </cfRule>
  </conditionalFormatting>
  <conditionalFormatting sqref="F31">
    <cfRule type="expression" dxfId="11" priority="17">
      <formula>$G$31="!"</formula>
    </cfRule>
  </conditionalFormatting>
  <conditionalFormatting sqref="F38">
    <cfRule type="expression" dxfId="10" priority="6">
      <formula>$G$38="!"</formula>
    </cfRule>
  </conditionalFormatting>
  <conditionalFormatting sqref="F39">
    <cfRule type="expression" dxfId="9" priority="5">
      <formula>$G$39="!"</formula>
    </cfRule>
  </conditionalFormatting>
  <conditionalFormatting sqref="F40">
    <cfRule type="expression" dxfId="8" priority="16">
      <formula>$G$40="!"</formula>
    </cfRule>
  </conditionalFormatting>
  <conditionalFormatting sqref="F41">
    <cfRule type="expression" dxfId="7" priority="15">
      <formula>$G$41="!"</formula>
    </cfRule>
  </conditionalFormatting>
  <conditionalFormatting sqref="F42">
    <cfRule type="expression" dxfId="6" priority="14">
      <formula>$G$42="!"</formula>
    </cfRule>
  </conditionalFormatting>
  <conditionalFormatting sqref="F43">
    <cfRule type="expression" dxfId="5" priority="12">
      <formula>$G$43="!"</formula>
    </cfRule>
  </conditionalFormatting>
  <conditionalFormatting sqref="F44">
    <cfRule type="expression" dxfId="4" priority="10">
      <formula>$G$44="!"</formula>
    </cfRule>
  </conditionalFormatting>
  <conditionalFormatting sqref="F48">
    <cfRule type="expression" dxfId="3" priority="4">
      <formula>$G$48="!"</formula>
    </cfRule>
  </conditionalFormatting>
  <conditionalFormatting sqref="F50">
    <cfRule type="expression" dxfId="2" priority="3">
      <formula>$G$50="!"</formula>
    </cfRule>
  </conditionalFormatting>
  <conditionalFormatting sqref="F51">
    <cfRule type="expression" dxfId="1" priority="1">
      <formula>$G$51="!"</formula>
    </cfRule>
  </conditionalFormatting>
  <conditionalFormatting sqref="F52">
    <cfRule type="expression" dxfId="0" priority="2">
      <formula>$G$52="!"</formula>
    </cfRule>
  </conditionalFormatting>
  <pageMargins left="0.7" right="0.7" top="0.75" bottom="0.75" header="0.3" footer="0.3"/>
  <pageSetup paperSize="9" scale="79" orientation="portrait" r:id="rId1"/>
  <headerFooter>
    <oddFooter>&amp;L&amp;8&amp;A&amp;R&amp;8&amp;F</oddFooter>
  </headerFooter>
  <rowBreaks count="1" manualBreakCount="1">
    <brk id="56" max="16383" man="1"/>
  </rowBreaks>
  <colBreaks count="1" manualBreakCount="1">
    <brk id="6"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11">
    <pageSetUpPr fitToPage="1"/>
  </sheetPr>
  <dimension ref="A1:X89"/>
  <sheetViews>
    <sheetView showZeros="0" zoomScale="90" zoomScaleNormal="90" workbookViewId="0">
      <selection activeCell="B18" sqref="B18"/>
    </sheetView>
  </sheetViews>
  <sheetFormatPr baseColWidth="10" defaultColWidth="11.19921875" defaultRowHeight="13.2" x14ac:dyDescent="0.25"/>
  <cols>
    <col min="1" max="1" width="2.8984375" style="280" customWidth="1"/>
    <col min="2" max="2" width="25.8984375" style="280" customWidth="1"/>
    <col min="3" max="5" width="8.69921875" style="280" customWidth="1"/>
    <col min="6" max="6" width="9.19921875" style="280" customWidth="1"/>
    <col min="7" max="7" width="10.59765625" style="280" customWidth="1"/>
    <col min="8" max="8" width="8.69921875" style="280" customWidth="1"/>
    <col min="9" max="9" width="7.8984375" style="280" customWidth="1"/>
    <col min="10" max="14" width="8.69921875" style="280" customWidth="1"/>
    <col min="15" max="15" width="9.19921875" style="280" customWidth="1"/>
    <col min="16" max="16" width="10.59765625" style="280" customWidth="1"/>
    <col min="17" max="18" width="8.69921875" style="280" customWidth="1"/>
    <col min="19" max="19" width="2.8984375" style="280" customWidth="1"/>
    <col min="20" max="20" width="10.09765625" style="280" customWidth="1"/>
    <col min="21" max="21" width="11.19921875" style="280"/>
    <col min="22" max="22" width="9.69921875" style="280" customWidth="1"/>
    <col min="23" max="23" width="6.09765625" style="280" customWidth="1"/>
    <col min="24" max="24" width="7.59765625" style="280" customWidth="1"/>
    <col min="25" max="25" width="5.69921875" style="280" customWidth="1"/>
    <col min="26" max="16384" width="11.19921875" style="280"/>
  </cols>
  <sheetData>
    <row r="1" spans="2:24" s="413" customFormat="1" ht="30.75" customHeight="1" thickBot="1" x14ac:dyDescent="0.3">
      <c r="B1" s="418" t="s">
        <v>307</v>
      </c>
      <c r="E1" s="417" t="s">
        <v>306</v>
      </c>
      <c r="F1" s="810">
        <f>Basisprämie!H7</f>
        <v>0</v>
      </c>
      <c r="G1" s="811"/>
      <c r="H1" s="811"/>
      <c r="I1" s="811"/>
      <c r="J1" s="811"/>
      <c r="K1" s="812"/>
      <c r="L1" s="416"/>
      <c r="M1" s="416"/>
      <c r="N1" s="416"/>
      <c r="O1" s="415"/>
      <c r="P1" s="415"/>
      <c r="R1" s="414" t="s">
        <v>305</v>
      </c>
    </row>
    <row r="2" spans="2:24" s="302" customFormat="1" ht="20.25" customHeight="1" thickBot="1" x14ac:dyDescent="0.3">
      <c r="C2" s="813" t="s">
        <v>276</v>
      </c>
      <c r="D2" s="814"/>
      <c r="E2" s="814"/>
      <c r="F2" s="814"/>
      <c r="G2" s="814"/>
      <c r="H2" s="814"/>
      <c r="I2" s="814"/>
      <c r="J2" s="814"/>
      <c r="K2" s="815"/>
      <c r="L2" s="813" t="s">
        <v>275</v>
      </c>
      <c r="M2" s="814"/>
      <c r="N2" s="814"/>
      <c r="O2" s="814"/>
      <c r="P2" s="814"/>
      <c r="Q2" s="814"/>
      <c r="R2" s="815"/>
      <c r="S2" s="412"/>
      <c r="T2" s="411"/>
      <c r="U2" s="411"/>
      <c r="V2" s="411"/>
      <c r="W2" s="411"/>
      <c r="X2" s="411"/>
    </row>
    <row r="3" spans="2:24" s="364" customFormat="1" ht="29.25" customHeight="1" x14ac:dyDescent="0.25">
      <c r="B3" s="410" t="s">
        <v>304</v>
      </c>
      <c r="C3" s="409" t="s">
        <v>303</v>
      </c>
      <c r="D3" s="835" t="s">
        <v>302</v>
      </c>
      <c r="E3" s="820"/>
      <c r="F3" s="818" t="s">
        <v>301</v>
      </c>
      <c r="G3" s="820"/>
      <c r="H3" s="818" t="s">
        <v>278</v>
      </c>
      <c r="I3" s="820"/>
      <c r="J3" s="818" t="s">
        <v>300</v>
      </c>
      <c r="K3" s="819"/>
      <c r="L3" s="409" t="s">
        <v>303</v>
      </c>
      <c r="M3" s="835" t="s">
        <v>302</v>
      </c>
      <c r="N3" s="820"/>
      <c r="O3" s="818" t="s">
        <v>301</v>
      </c>
      <c r="P3" s="820"/>
      <c r="Q3" s="818" t="s">
        <v>300</v>
      </c>
      <c r="R3" s="819"/>
    </row>
    <row r="4" spans="2:24" s="401" customFormat="1" ht="33" customHeight="1" thickBot="1" x14ac:dyDescent="0.3">
      <c r="B4" s="408"/>
      <c r="C4" s="405" t="s">
        <v>296</v>
      </c>
      <c r="D4" s="403" t="s">
        <v>295</v>
      </c>
      <c r="E4" s="402" t="s">
        <v>294</v>
      </c>
      <c r="F4" s="407" t="s">
        <v>293</v>
      </c>
      <c r="G4" s="406" t="s">
        <v>292</v>
      </c>
      <c r="H4" s="407" t="s">
        <v>299</v>
      </c>
      <c r="I4" s="406" t="s">
        <v>298</v>
      </c>
      <c r="J4" s="403" t="s">
        <v>291</v>
      </c>
      <c r="K4" s="402" t="s">
        <v>297</v>
      </c>
      <c r="L4" s="405" t="s">
        <v>296</v>
      </c>
      <c r="M4" s="403" t="s">
        <v>295</v>
      </c>
      <c r="N4" s="402" t="s">
        <v>294</v>
      </c>
      <c r="O4" s="404" t="s">
        <v>293</v>
      </c>
      <c r="P4" s="404" t="s">
        <v>292</v>
      </c>
      <c r="Q4" s="403" t="s">
        <v>291</v>
      </c>
      <c r="R4" s="402" t="s">
        <v>290</v>
      </c>
    </row>
    <row r="5" spans="2:24" s="302" customFormat="1" ht="20.100000000000001" customHeight="1" thickBot="1" x14ac:dyDescent="0.3">
      <c r="B5" s="419" t="s">
        <v>423</v>
      </c>
      <c r="C5" s="400"/>
      <c r="D5" s="446">
        <f>VLOOKUP(B5,DG_SUE!$A$5:$B$113,2,FALSE)</f>
        <v>0</v>
      </c>
      <c r="E5" s="390">
        <f t="shared" ref="E5:E21" si="0">$C5*D5</f>
        <v>0</v>
      </c>
      <c r="F5" s="446">
        <f>VLOOKUP(B5,DG_SUE!$A$5:$D$113,4,FALSE)</f>
        <v>0</v>
      </c>
      <c r="G5" s="390">
        <f t="shared" ref="G5:G21" si="1">$C5*F5</f>
        <v>0</v>
      </c>
      <c r="H5" s="398"/>
      <c r="I5" s="390">
        <f t="shared" ref="I5:I21" si="2">$C5*H5</f>
        <v>0</v>
      </c>
      <c r="J5" s="446">
        <f>VLOOKUP(B5,DG_SUE!$A$5:$D$113,3,FALSE)</f>
        <v>0</v>
      </c>
      <c r="K5" s="390">
        <f t="shared" ref="K5:K21" si="3">J5*C5</f>
        <v>0</v>
      </c>
      <c r="L5" s="399"/>
      <c r="M5" s="446">
        <f>VLOOKUP(B5,DG_SUE!$A$5:$B$113,2,FALSE)</f>
        <v>0</v>
      </c>
      <c r="N5" s="390">
        <f t="shared" ref="N5:N21" si="4">L5*M5</f>
        <v>0</v>
      </c>
      <c r="O5" s="446">
        <f>VLOOKUP(B5,DG_SUE!$A$5:$D$113,4,FALSE)</f>
        <v>0</v>
      </c>
      <c r="P5" s="390">
        <f t="shared" ref="P5:P21" si="5">$C5*O5</f>
        <v>0</v>
      </c>
      <c r="Q5" s="446">
        <f>VLOOKUP(B5,DG_SUE!$A$5:$D$113,3,FALSE)</f>
        <v>0</v>
      </c>
      <c r="R5" s="390">
        <f t="shared" ref="R5:R21" si="6">L5*Q5</f>
        <v>0</v>
      </c>
    </row>
    <row r="6" spans="2:24" s="302" customFormat="1" ht="20.100000000000001" customHeight="1" thickBot="1" x14ac:dyDescent="0.3">
      <c r="B6" s="419" t="s">
        <v>423</v>
      </c>
      <c r="C6" s="388"/>
      <c r="D6" s="447">
        <f>VLOOKUP(B6,DG_SUE!$A$5:$B$113,2,FALSE)</f>
        <v>0</v>
      </c>
      <c r="E6" s="380">
        <f t="shared" si="0"/>
        <v>0</v>
      </c>
      <c r="F6" s="447">
        <f>VLOOKUP(B6,DG_SUE!$A$5:$D$113,4,FALSE)</f>
        <v>0</v>
      </c>
      <c r="G6" s="380">
        <f t="shared" si="1"/>
        <v>0</v>
      </c>
      <c r="H6" s="385"/>
      <c r="I6" s="380">
        <f t="shared" si="2"/>
        <v>0</v>
      </c>
      <c r="J6" s="448">
        <f>VLOOKUP(B6,DG_SUE!$A$5:$D$113,3,FALSE)</f>
        <v>0</v>
      </c>
      <c r="K6" s="380">
        <f t="shared" si="3"/>
        <v>0</v>
      </c>
      <c r="L6" s="387"/>
      <c r="M6" s="447">
        <f>VLOOKUP(B6,DG_SUE!$A$5:$B$113,2,FALSE)</f>
        <v>0</v>
      </c>
      <c r="N6" s="380">
        <f t="shared" si="4"/>
        <v>0</v>
      </c>
      <c r="O6" s="447">
        <f>VLOOKUP(B6,DG_SUE!$A$5:$D$113,4,FALSE)</f>
        <v>0</v>
      </c>
      <c r="P6" s="380">
        <f t="shared" si="5"/>
        <v>0</v>
      </c>
      <c r="Q6" s="447">
        <f>VLOOKUP(B6,DG_SUE!$A$5:$D$113,3,FALSE)</f>
        <v>0</v>
      </c>
      <c r="R6" s="380">
        <f t="shared" si="6"/>
        <v>0</v>
      </c>
    </row>
    <row r="7" spans="2:24" s="302" customFormat="1" ht="20.100000000000001" customHeight="1" thickBot="1" x14ac:dyDescent="0.3">
      <c r="B7" s="419" t="s">
        <v>423</v>
      </c>
      <c r="C7" s="388"/>
      <c r="D7" s="447">
        <f>VLOOKUP(B7,DG_SUE!$A$5:$B$113,2,FALSE)</f>
        <v>0</v>
      </c>
      <c r="E7" s="380">
        <f t="shared" si="0"/>
        <v>0</v>
      </c>
      <c r="F7" s="447">
        <f>VLOOKUP(B7,DG_SUE!$A$5:$D$113,4,FALSE)</f>
        <v>0</v>
      </c>
      <c r="G7" s="380">
        <f t="shared" si="1"/>
        <v>0</v>
      </c>
      <c r="H7" s="385"/>
      <c r="I7" s="380">
        <f t="shared" si="2"/>
        <v>0</v>
      </c>
      <c r="J7" s="447">
        <f>VLOOKUP(B7,DG_SUE!$A$5:$D$113,3,FALSE)</f>
        <v>0</v>
      </c>
      <c r="K7" s="380">
        <f t="shared" si="3"/>
        <v>0</v>
      </c>
      <c r="L7" s="387"/>
      <c r="M7" s="447">
        <f>VLOOKUP(B7,DG_SUE!$A$5:$B$113,2,FALSE)</f>
        <v>0</v>
      </c>
      <c r="N7" s="380">
        <f t="shared" si="4"/>
        <v>0</v>
      </c>
      <c r="O7" s="447">
        <f>VLOOKUP(B7,DG_SUE!$A$5:$D$113,4,FALSE)</f>
        <v>0</v>
      </c>
      <c r="P7" s="380">
        <f t="shared" si="5"/>
        <v>0</v>
      </c>
      <c r="Q7" s="447">
        <f>VLOOKUP(B7,DG_SUE!$A$5:$D$113,3,FALSE)</f>
        <v>0</v>
      </c>
      <c r="R7" s="380">
        <f t="shared" si="6"/>
        <v>0</v>
      </c>
    </row>
    <row r="8" spans="2:24" s="302" customFormat="1" ht="20.100000000000001" customHeight="1" thickBot="1" x14ac:dyDescent="0.3">
      <c r="B8" s="419" t="s">
        <v>423</v>
      </c>
      <c r="C8" s="388"/>
      <c r="D8" s="447">
        <f>VLOOKUP(B8,DG_SUE!$A$5:$B$113,2,FALSE)</f>
        <v>0</v>
      </c>
      <c r="E8" s="380">
        <f t="shared" si="0"/>
        <v>0</v>
      </c>
      <c r="F8" s="447">
        <f>VLOOKUP(B8,DG_SUE!$A$5:$D$113,4,FALSE)</f>
        <v>0</v>
      </c>
      <c r="G8" s="380">
        <f t="shared" si="1"/>
        <v>0</v>
      </c>
      <c r="H8" s="385"/>
      <c r="I8" s="380">
        <f t="shared" si="2"/>
        <v>0</v>
      </c>
      <c r="J8" s="447">
        <f>VLOOKUP(B8,DG_SUE!$A$5:$D$113,3,FALSE)</f>
        <v>0</v>
      </c>
      <c r="K8" s="380">
        <f t="shared" si="3"/>
        <v>0</v>
      </c>
      <c r="L8" s="387"/>
      <c r="M8" s="447">
        <f>VLOOKUP(B8,DG_SUE!$A$5:$B$113,2,FALSE)</f>
        <v>0</v>
      </c>
      <c r="N8" s="380">
        <f t="shared" si="4"/>
        <v>0</v>
      </c>
      <c r="O8" s="447">
        <f>VLOOKUP(B8,DG_SUE!$A$5:$D$113,4,FALSE)</f>
        <v>0</v>
      </c>
      <c r="P8" s="380">
        <f t="shared" si="5"/>
        <v>0</v>
      </c>
      <c r="Q8" s="447">
        <f>VLOOKUP(B8,DG_SUE!$A$5:$D$113,3,FALSE)</f>
        <v>0</v>
      </c>
      <c r="R8" s="380">
        <f t="shared" si="6"/>
        <v>0</v>
      </c>
    </row>
    <row r="9" spans="2:24" s="302" customFormat="1" ht="20.100000000000001" customHeight="1" thickBot="1" x14ac:dyDescent="0.3">
      <c r="B9" s="419" t="s">
        <v>423</v>
      </c>
      <c r="C9" s="388"/>
      <c r="D9" s="447">
        <f>VLOOKUP(B9,DG_SUE!$A$5:$B$113,2,FALSE)</f>
        <v>0</v>
      </c>
      <c r="E9" s="380">
        <f t="shared" si="0"/>
        <v>0</v>
      </c>
      <c r="F9" s="447">
        <f>VLOOKUP(B9,DG_SUE!$A$5:$D$113,4,FALSE)</f>
        <v>0</v>
      </c>
      <c r="G9" s="380">
        <f t="shared" si="1"/>
        <v>0</v>
      </c>
      <c r="H9" s="385"/>
      <c r="I9" s="380">
        <f t="shared" si="2"/>
        <v>0</v>
      </c>
      <c r="J9" s="447">
        <f>VLOOKUP(B9,DG_SUE!$A$5:$D$113,3,FALSE)</f>
        <v>0</v>
      </c>
      <c r="K9" s="380">
        <f t="shared" si="3"/>
        <v>0</v>
      </c>
      <c r="L9" s="387"/>
      <c r="M9" s="447">
        <f>VLOOKUP(B9,DG_SUE!$A$5:$B$113,2,FALSE)</f>
        <v>0</v>
      </c>
      <c r="N9" s="380">
        <f t="shared" si="4"/>
        <v>0</v>
      </c>
      <c r="O9" s="447">
        <f>VLOOKUP(B9,DG_SUE!$A$5:$D$113,4,FALSE)</f>
        <v>0</v>
      </c>
      <c r="P9" s="380">
        <f t="shared" si="5"/>
        <v>0</v>
      </c>
      <c r="Q9" s="447">
        <f>VLOOKUP(B9,DG_SUE!$A$5:$D$113,3,FALSE)</f>
        <v>0</v>
      </c>
      <c r="R9" s="380">
        <f t="shared" si="6"/>
        <v>0</v>
      </c>
    </row>
    <row r="10" spans="2:24" s="302" customFormat="1" ht="20.100000000000001" customHeight="1" thickBot="1" x14ac:dyDescent="0.3">
      <c r="B10" s="419" t="s">
        <v>423</v>
      </c>
      <c r="C10" s="388"/>
      <c r="D10" s="447">
        <f>VLOOKUP(B10,DG_SUE!$A$5:$B$113,2,FALSE)</f>
        <v>0</v>
      </c>
      <c r="E10" s="380">
        <f t="shared" si="0"/>
        <v>0</v>
      </c>
      <c r="F10" s="447">
        <f>VLOOKUP(B10,DG_SUE!$A$5:$D$113,4,FALSE)</f>
        <v>0</v>
      </c>
      <c r="G10" s="380">
        <f t="shared" si="1"/>
        <v>0</v>
      </c>
      <c r="H10" s="385"/>
      <c r="I10" s="380">
        <f t="shared" si="2"/>
        <v>0</v>
      </c>
      <c r="J10" s="447">
        <f>VLOOKUP(B10,DG_SUE!$A$5:$D$113,3,FALSE)</f>
        <v>0</v>
      </c>
      <c r="K10" s="380">
        <f t="shared" si="3"/>
        <v>0</v>
      </c>
      <c r="L10" s="387"/>
      <c r="M10" s="447">
        <f>VLOOKUP(B10,DG_SUE!$A$5:$B$113,2,FALSE)</f>
        <v>0</v>
      </c>
      <c r="N10" s="380">
        <f t="shared" si="4"/>
        <v>0</v>
      </c>
      <c r="O10" s="447">
        <f>VLOOKUP(B10,DG_SUE!$A$5:$D$113,4,FALSE)</f>
        <v>0</v>
      </c>
      <c r="P10" s="380">
        <f t="shared" si="5"/>
        <v>0</v>
      </c>
      <c r="Q10" s="447">
        <f>VLOOKUP(B10,DG_SUE!$A$5:$D$113,3,FALSE)</f>
        <v>0</v>
      </c>
      <c r="R10" s="380">
        <f t="shared" si="6"/>
        <v>0</v>
      </c>
    </row>
    <row r="11" spans="2:24" s="302" customFormat="1" ht="20.100000000000001" customHeight="1" thickBot="1" x14ac:dyDescent="0.3">
      <c r="B11" s="419" t="s">
        <v>423</v>
      </c>
      <c r="C11" s="388"/>
      <c r="D11" s="447">
        <f>VLOOKUP(B11,DG_SUE!$A$5:$B$113,2,FALSE)</f>
        <v>0</v>
      </c>
      <c r="E11" s="380">
        <f t="shared" si="0"/>
        <v>0</v>
      </c>
      <c r="F11" s="447">
        <f>VLOOKUP(B11,DG_SUE!$A$5:$D$113,4,FALSE)</f>
        <v>0</v>
      </c>
      <c r="G11" s="380">
        <f t="shared" si="1"/>
        <v>0</v>
      </c>
      <c r="H11" s="385"/>
      <c r="I11" s="380">
        <f t="shared" si="2"/>
        <v>0</v>
      </c>
      <c r="J11" s="447">
        <f>VLOOKUP(B11,DG_SUE!$A$5:$D$113,3,FALSE)</f>
        <v>0</v>
      </c>
      <c r="K11" s="380">
        <f t="shared" si="3"/>
        <v>0</v>
      </c>
      <c r="L11" s="387"/>
      <c r="M11" s="447">
        <f>VLOOKUP(B11,DG_SUE!$A$5:$B$113,2,FALSE)</f>
        <v>0</v>
      </c>
      <c r="N11" s="380">
        <f t="shared" si="4"/>
        <v>0</v>
      </c>
      <c r="O11" s="447">
        <f>VLOOKUP(B11,DG_SUE!$A$5:$D$113,4,FALSE)</f>
        <v>0</v>
      </c>
      <c r="P11" s="380">
        <f t="shared" si="5"/>
        <v>0</v>
      </c>
      <c r="Q11" s="449">
        <f>VLOOKUP(B11,DG_SUE!$A$5:$D$113,3,FALSE)</f>
        <v>0</v>
      </c>
      <c r="R11" s="380">
        <f t="shared" si="6"/>
        <v>0</v>
      </c>
    </row>
    <row r="12" spans="2:24" s="302" customFormat="1" ht="20.100000000000001" customHeight="1" x14ac:dyDescent="0.25">
      <c r="B12" s="419" t="s">
        <v>423</v>
      </c>
      <c r="C12" s="388"/>
      <c r="D12" s="447">
        <f>VLOOKUP(B12,DG_SUE!$A$5:$B$113,2,FALSE)</f>
        <v>0</v>
      </c>
      <c r="E12" s="380">
        <f t="shared" si="0"/>
        <v>0</v>
      </c>
      <c r="F12" s="447">
        <f>VLOOKUP(B12,DG_SUE!$A$5:$D$113,4,FALSE)</f>
        <v>0</v>
      </c>
      <c r="G12" s="380">
        <f t="shared" si="1"/>
        <v>0</v>
      </c>
      <c r="H12" s="385"/>
      <c r="I12" s="450">
        <f t="shared" si="2"/>
        <v>0</v>
      </c>
      <c r="J12" s="447">
        <f>VLOOKUP(B12,DG_SUE!$A$5:$D$113,3,FALSE)</f>
        <v>0</v>
      </c>
      <c r="K12" s="380">
        <f t="shared" si="3"/>
        <v>0</v>
      </c>
      <c r="L12" s="387"/>
      <c r="M12" s="447">
        <f>VLOOKUP(B12,DG_SUE!$A$5:$B$113,2,FALSE)</f>
        <v>0</v>
      </c>
      <c r="N12" s="380">
        <f t="shared" si="4"/>
        <v>0</v>
      </c>
      <c r="O12" s="447">
        <f>VLOOKUP(B12,DG_SUE!$A$5:$D$113,4,FALSE)</f>
        <v>0</v>
      </c>
      <c r="P12" s="450">
        <f t="shared" si="5"/>
        <v>0</v>
      </c>
      <c r="Q12" s="447">
        <f>VLOOKUP(B12,DG_SUE!$A$5:$D$113,3,FALSE)</f>
        <v>0</v>
      </c>
      <c r="R12" s="380">
        <f t="shared" si="6"/>
        <v>0</v>
      </c>
    </row>
    <row r="13" spans="2:24" s="302" customFormat="1" ht="20.100000000000001" customHeight="1" x14ac:dyDescent="0.25">
      <c r="B13" s="389"/>
      <c r="C13" s="388"/>
      <c r="D13" s="385"/>
      <c r="E13" s="384">
        <f t="shared" si="0"/>
        <v>0</v>
      </c>
      <c r="F13" s="385"/>
      <c r="G13" s="384">
        <f t="shared" si="1"/>
        <v>0</v>
      </c>
      <c r="H13" s="385"/>
      <c r="I13" s="384">
        <f t="shared" si="2"/>
        <v>0</v>
      </c>
      <c r="J13" s="383"/>
      <c r="K13" s="380">
        <f t="shared" si="3"/>
        <v>0</v>
      </c>
      <c r="L13" s="387"/>
      <c r="M13" s="385"/>
      <c r="N13" s="384">
        <f t="shared" si="4"/>
        <v>0</v>
      </c>
      <c r="O13" s="385"/>
      <c r="P13" s="384">
        <f t="shared" si="5"/>
        <v>0</v>
      </c>
      <c r="Q13" s="397"/>
      <c r="R13" s="380">
        <f t="shared" si="6"/>
        <v>0</v>
      </c>
    </row>
    <row r="14" spans="2:24" s="302" customFormat="1" ht="20.100000000000001" customHeight="1" x14ac:dyDescent="0.25">
      <c r="B14" s="389"/>
      <c r="C14" s="388"/>
      <c r="D14" s="385"/>
      <c r="E14" s="384">
        <f t="shared" si="0"/>
        <v>0</v>
      </c>
      <c r="F14" s="385"/>
      <c r="G14" s="384">
        <f t="shared" si="1"/>
        <v>0</v>
      </c>
      <c r="H14" s="385"/>
      <c r="I14" s="384">
        <f t="shared" si="2"/>
        <v>0</v>
      </c>
      <c r="J14" s="383"/>
      <c r="K14" s="380">
        <f t="shared" si="3"/>
        <v>0</v>
      </c>
      <c r="L14" s="387"/>
      <c r="M14" s="385"/>
      <c r="N14" s="384">
        <f t="shared" si="4"/>
        <v>0</v>
      </c>
      <c r="O14" s="385"/>
      <c r="P14" s="384">
        <f t="shared" si="5"/>
        <v>0</v>
      </c>
      <c r="Q14" s="397"/>
      <c r="R14" s="380">
        <f t="shared" si="6"/>
        <v>0</v>
      </c>
    </row>
    <row r="15" spans="2:24" s="302" customFormat="1" ht="20.100000000000001" customHeight="1" x14ac:dyDescent="0.25">
      <c r="B15" s="389"/>
      <c r="C15" s="388"/>
      <c r="D15" s="385"/>
      <c r="E15" s="384">
        <f t="shared" si="0"/>
        <v>0</v>
      </c>
      <c r="F15" s="385"/>
      <c r="G15" s="384">
        <f t="shared" si="1"/>
        <v>0</v>
      </c>
      <c r="H15" s="385"/>
      <c r="I15" s="384">
        <f t="shared" si="2"/>
        <v>0</v>
      </c>
      <c r="J15" s="383"/>
      <c r="K15" s="380">
        <f t="shared" si="3"/>
        <v>0</v>
      </c>
      <c r="L15" s="387"/>
      <c r="M15" s="385"/>
      <c r="N15" s="384">
        <f t="shared" si="4"/>
        <v>0</v>
      </c>
      <c r="O15" s="385"/>
      <c r="P15" s="384">
        <f t="shared" si="5"/>
        <v>0</v>
      </c>
      <c r="Q15" s="397"/>
      <c r="R15" s="380">
        <f t="shared" si="6"/>
        <v>0</v>
      </c>
    </row>
    <row r="16" spans="2:24" s="302" customFormat="1" ht="20.100000000000001" customHeight="1" x14ac:dyDescent="0.25">
      <c r="B16" s="389"/>
      <c r="C16" s="388"/>
      <c r="D16" s="385"/>
      <c r="E16" s="384">
        <f t="shared" si="0"/>
        <v>0</v>
      </c>
      <c r="F16" s="385"/>
      <c r="G16" s="384">
        <f t="shared" si="1"/>
        <v>0</v>
      </c>
      <c r="H16" s="385"/>
      <c r="I16" s="384">
        <f t="shared" si="2"/>
        <v>0</v>
      </c>
      <c r="J16" s="383"/>
      <c r="K16" s="380">
        <f t="shared" si="3"/>
        <v>0</v>
      </c>
      <c r="L16" s="387"/>
      <c r="M16" s="385"/>
      <c r="N16" s="384">
        <f t="shared" si="4"/>
        <v>0</v>
      </c>
      <c r="O16" s="385"/>
      <c r="P16" s="384">
        <f t="shared" si="5"/>
        <v>0</v>
      </c>
      <c r="Q16" s="397"/>
      <c r="R16" s="380">
        <f t="shared" si="6"/>
        <v>0</v>
      </c>
    </row>
    <row r="17" spans="2:18" s="302" customFormat="1" ht="20.100000000000001" customHeight="1" x14ac:dyDescent="0.25">
      <c r="B17" s="389"/>
      <c r="C17" s="388"/>
      <c r="D17" s="385"/>
      <c r="E17" s="384">
        <f t="shared" si="0"/>
        <v>0</v>
      </c>
      <c r="F17" s="385"/>
      <c r="G17" s="384">
        <f t="shared" si="1"/>
        <v>0</v>
      </c>
      <c r="H17" s="385"/>
      <c r="I17" s="384">
        <f t="shared" si="2"/>
        <v>0</v>
      </c>
      <c r="J17" s="383"/>
      <c r="K17" s="380">
        <f t="shared" si="3"/>
        <v>0</v>
      </c>
      <c r="L17" s="387"/>
      <c r="M17" s="385"/>
      <c r="N17" s="384">
        <f t="shared" si="4"/>
        <v>0</v>
      </c>
      <c r="O17" s="385"/>
      <c r="P17" s="384">
        <f t="shared" si="5"/>
        <v>0</v>
      </c>
      <c r="Q17" s="397"/>
      <c r="R17" s="380">
        <f t="shared" si="6"/>
        <v>0</v>
      </c>
    </row>
    <row r="18" spans="2:18" s="302" customFormat="1" ht="20.100000000000001" customHeight="1" x14ac:dyDescent="0.25">
      <c r="B18" s="389"/>
      <c r="C18" s="388"/>
      <c r="D18" s="385"/>
      <c r="E18" s="384">
        <f t="shared" si="0"/>
        <v>0</v>
      </c>
      <c r="F18" s="385"/>
      <c r="G18" s="384">
        <f t="shared" si="1"/>
        <v>0</v>
      </c>
      <c r="H18" s="385"/>
      <c r="I18" s="384">
        <f t="shared" si="2"/>
        <v>0</v>
      </c>
      <c r="J18" s="383"/>
      <c r="K18" s="380">
        <f t="shared" si="3"/>
        <v>0</v>
      </c>
      <c r="L18" s="387"/>
      <c r="M18" s="385"/>
      <c r="N18" s="384">
        <f t="shared" si="4"/>
        <v>0</v>
      </c>
      <c r="O18" s="385"/>
      <c r="P18" s="384">
        <f t="shared" si="5"/>
        <v>0</v>
      </c>
      <c r="Q18" s="397"/>
      <c r="R18" s="380">
        <f t="shared" si="6"/>
        <v>0</v>
      </c>
    </row>
    <row r="19" spans="2:18" s="302" customFormat="1" ht="20.100000000000001" customHeight="1" x14ac:dyDescent="0.25">
      <c r="B19" s="389"/>
      <c r="C19" s="388"/>
      <c r="D19" s="385"/>
      <c r="E19" s="384">
        <f t="shared" si="0"/>
        <v>0</v>
      </c>
      <c r="F19" s="385"/>
      <c r="G19" s="384">
        <f t="shared" si="1"/>
        <v>0</v>
      </c>
      <c r="H19" s="385"/>
      <c r="I19" s="384">
        <f t="shared" si="2"/>
        <v>0</v>
      </c>
      <c r="J19" s="383"/>
      <c r="K19" s="380">
        <f t="shared" si="3"/>
        <v>0</v>
      </c>
      <c r="L19" s="387"/>
      <c r="M19" s="385"/>
      <c r="N19" s="384">
        <f t="shared" si="4"/>
        <v>0</v>
      </c>
      <c r="O19" s="385"/>
      <c r="P19" s="384">
        <f t="shared" si="5"/>
        <v>0</v>
      </c>
      <c r="Q19" s="397"/>
      <c r="R19" s="380">
        <f t="shared" si="6"/>
        <v>0</v>
      </c>
    </row>
    <row r="20" spans="2:18" s="302" customFormat="1" ht="20.100000000000001" customHeight="1" x14ac:dyDescent="0.25">
      <c r="B20" s="389"/>
      <c r="C20" s="388"/>
      <c r="D20" s="385"/>
      <c r="E20" s="384">
        <f t="shared" si="0"/>
        <v>0</v>
      </c>
      <c r="F20" s="385"/>
      <c r="G20" s="384">
        <f t="shared" si="1"/>
        <v>0</v>
      </c>
      <c r="H20" s="385"/>
      <c r="I20" s="384">
        <f t="shared" si="2"/>
        <v>0</v>
      </c>
      <c r="J20" s="383"/>
      <c r="K20" s="380">
        <f t="shared" si="3"/>
        <v>0</v>
      </c>
      <c r="L20" s="387"/>
      <c r="M20" s="385"/>
      <c r="N20" s="384">
        <f t="shared" si="4"/>
        <v>0</v>
      </c>
      <c r="O20" s="385"/>
      <c r="P20" s="384">
        <f t="shared" si="5"/>
        <v>0</v>
      </c>
      <c r="Q20" s="397"/>
      <c r="R20" s="380">
        <f t="shared" si="6"/>
        <v>0</v>
      </c>
    </row>
    <row r="21" spans="2:18" s="302" customFormat="1" ht="20.100000000000001" customHeight="1" thickBot="1" x14ac:dyDescent="0.3">
      <c r="B21" s="389"/>
      <c r="C21" s="381"/>
      <c r="D21" s="376"/>
      <c r="E21" s="374">
        <f t="shared" si="0"/>
        <v>0</v>
      </c>
      <c r="F21" s="395"/>
      <c r="G21" s="394">
        <f t="shared" si="1"/>
        <v>0</v>
      </c>
      <c r="H21" s="395"/>
      <c r="I21" s="394">
        <f t="shared" si="2"/>
        <v>0</v>
      </c>
      <c r="J21" s="375"/>
      <c r="K21" s="394">
        <f t="shared" si="3"/>
        <v>0</v>
      </c>
      <c r="L21" s="396"/>
      <c r="M21" s="376"/>
      <c r="N21" s="374">
        <f t="shared" si="4"/>
        <v>0</v>
      </c>
      <c r="O21" s="395"/>
      <c r="P21" s="394">
        <f t="shared" si="5"/>
        <v>0</v>
      </c>
      <c r="Q21" s="393"/>
      <c r="R21" s="380">
        <f t="shared" si="6"/>
        <v>0</v>
      </c>
    </row>
    <row r="22" spans="2:18" s="364" customFormat="1" ht="26.25" customHeight="1" thickBot="1" x14ac:dyDescent="0.3">
      <c r="B22" s="373" t="s">
        <v>289</v>
      </c>
      <c r="C22" s="392"/>
      <c r="D22" s="368" t="s">
        <v>282</v>
      </c>
      <c r="E22" s="391">
        <f>SUM(E5:E21)</f>
        <v>0</v>
      </c>
      <c r="F22" s="367" t="s">
        <v>287</v>
      </c>
      <c r="G22" s="391">
        <f>SUM(G5:G21)</f>
        <v>0</v>
      </c>
      <c r="H22" s="367" t="s">
        <v>288</v>
      </c>
      <c r="I22" s="391">
        <f>SUM(I5:I21)</f>
        <v>0</v>
      </c>
      <c r="J22" s="366" t="s">
        <v>280</v>
      </c>
      <c r="K22" s="320">
        <f>SUM(K5:K21)</f>
        <v>0</v>
      </c>
      <c r="L22" s="392"/>
      <c r="M22" s="368" t="s">
        <v>282</v>
      </c>
      <c r="N22" s="391">
        <f>SUM(N5:N21)</f>
        <v>0</v>
      </c>
      <c r="O22" s="367" t="s">
        <v>287</v>
      </c>
      <c r="P22" s="391">
        <f>SUM(P5:P21)</f>
        <v>0</v>
      </c>
      <c r="Q22" s="366" t="s">
        <v>280</v>
      </c>
      <c r="R22" s="320">
        <f>SUM(R5:R21)</f>
        <v>0</v>
      </c>
    </row>
    <row r="23" spans="2:18" s="302" customFormat="1" ht="20.100000000000001" customHeight="1" x14ac:dyDescent="0.25">
      <c r="B23" s="451" t="s">
        <v>423</v>
      </c>
      <c r="C23" s="388"/>
      <c r="D23" s="446">
        <f>VLOOKUP(B23,DG_SUE!$A$115:$D$162,2,FALSE)</f>
        <v>0</v>
      </c>
      <c r="E23" s="384">
        <f t="shared" ref="E23:E31" si="7">C23*D23</f>
        <v>0</v>
      </c>
      <c r="F23" s="446">
        <f>VLOOKUP(B23,DG_SUE!$A$115:$D$162,4,FALSE)</f>
        <v>0</v>
      </c>
      <c r="G23" s="390">
        <f t="shared" ref="G23:G31" si="8">$C23*F23</f>
        <v>0</v>
      </c>
      <c r="H23" s="385"/>
      <c r="I23" s="390">
        <f t="shared" ref="I23:I31" si="9">$C23*H23</f>
        <v>0</v>
      </c>
      <c r="J23" s="446">
        <f>VLOOKUP(B23,DG_SUE!$A$115:$D$162,3,FALSE)</f>
        <v>0</v>
      </c>
      <c r="K23" s="380">
        <f t="shared" ref="K23:K31" si="10">J23*C23</f>
        <v>0</v>
      </c>
      <c r="L23" s="387"/>
      <c r="M23" s="446">
        <f>VLOOKUP(B23,DG_SUE!$A$115:$D$162,2,FALSE)</f>
        <v>0</v>
      </c>
      <c r="N23" s="384">
        <f t="shared" ref="N23:N31" si="11">M23*L23</f>
        <v>0</v>
      </c>
      <c r="O23" s="446">
        <f>VLOOKUP(B23,DG_SUE!$A$115:$D$162,4,FALSE)</f>
        <v>0</v>
      </c>
      <c r="P23" s="390">
        <f t="shared" ref="P23:P31" si="12">$C23*O23</f>
        <v>0</v>
      </c>
      <c r="Q23" s="446">
        <f>VLOOKUP(B23,DG_SUE!$A$115:$D$162,3,FALSE)</f>
        <v>0</v>
      </c>
      <c r="R23" s="380">
        <f t="shared" ref="R23:R31" si="13">Q23*L23</f>
        <v>0</v>
      </c>
    </row>
    <row r="24" spans="2:18" s="302" customFormat="1" ht="20.100000000000001" customHeight="1" x14ac:dyDescent="0.25">
      <c r="B24" s="451" t="s">
        <v>423</v>
      </c>
      <c r="C24" s="388"/>
      <c r="D24" s="447">
        <f>VLOOKUP(B24,DG_SUE!$A$115:$D$162,2,FALSE)</f>
        <v>0</v>
      </c>
      <c r="E24" s="384">
        <f t="shared" si="7"/>
        <v>0</v>
      </c>
      <c r="F24" s="447">
        <f>VLOOKUP(B24,DG_SUE!$A$115:$D$162,4,FALSE)</f>
        <v>0</v>
      </c>
      <c r="G24" s="384">
        <f t="shared" si="8"/>
        <v>0</v>
      </c>
      <c r="H24" s="385"/>
      <c r="I24" s="384">
        <f t="shared" si="9"/>
        <v>0</v>
      </c>
      <c r="J24" s="447">
        <f>VLOOKUP(B24,DG_SUE!$A$115:$D$162,3,FALSE)</f>
        <v>0</v>
      </c>
      <c r="K24" s="380">
        <f t="shared" si="10"/>
        <v>0</v>
      </c>
      <c r="L24" s="388"/>
      <c r="M24" s="447">
        <f>VLOOKUP(B24,DG_SUE!$A$115:$D$162,2,FALSE)</f>
        <v>0</v>
      </c>
      <c r="N24" s="384">
        <f t="shared" si="11"/>
        <v>0</v>
      </c>
      <c r="O24" s="447">
        <f>VLOOKUP(B24,DG_SUE!$A$115:$D$162,4,FALSE)</f>
        <v>0</v>
      </c>
      <c r="P24" s="384">
        <f t="shared" si="12"/>
        <v>0</v>
      </c>
      <c r="Q24" s="447">
        <f>VLOOKUP(B24,DG_SUE!$A$115:$D$162,3,FALSE)</f>
        <v>0</v>
      </c>
      <c r="R24" s="380">
        <f t="shared" si="13"/>
        <v>0</v>
      </c>
    </row>
    <row r="25" spans="2:18" s="302" customFormat="1" ht="20.100000000000001" customHeight="1" x14ac:dyDescent="0.25">
      <c r="B25" s="451" t="s">
        <v>423</v>
      </c>
      <c r="C25" s="388"/>
      <c r="D25" s="447">
        <f>VLOOKUP(B25,DG_SUE!$A$115:$D$162,2,FALSE)</f>
        <v>0</v>
      </c>
      <c r="E25" s="384">
        <f t="shared" si="7"/>
        <v>0</v>
      </c>
      <c r="F25" s="447">
        <f>VLOOKUP(B25,DG_SUE!$A$115:$D$162,4,FALSE)</f>
        <v>0</v>
      </c>
      <c r="G25" s="384">
        <f t="shared" si="8"/>
        <v>0</v>
      </c>
      <c r="H25" s="385"/>
      <c r="I25" s="384">
        <f t="shared" si="9"/>
        <v>0</v>
      </c>
      <c r="J25" s="447">
        <f>VLOOKUP(B25,DG_SUE!$A$115:$D$162,3,FALSE)</f>
        <v>0</v>
      </c>
      <c r="K25" s="380">
        <f t="shared" si="10"/>
        <v>0</v>
      </c>
      <c r="L25" s="388"/>
      <c r="M25" s="447">
        <f>VLOOKUP(B25,DG_SUE!$A$115:$D$162,2,FALSE)</f>
        <v>0</v>
      </c>
      <c r="N25" s="384">
        <f t="shared" si="11"/>
        <v>0</v>
      </c>
      <c r="O25" s="447">
        <f>VLOOKUP(B25,DG_SUE!$A$115:$D$162,4,FALSE)</f>
        <v>0</v>
      </c>
      <c r="P25" s="384">
        <f t="shared" si="12"/>
        <v>0</v>
      </c>
      <c r="Q25" s="447">
        <f>VLOOKUP(B25,DG_SUE!$A$115:$D$162,3,FALSE)</f>
        <v>0</v>
      </c>
      <c r="R25" s="380">
        <f t="shared" si="13"/>
        <v>0</v>
      </c>
    </row>
    <row r="26" spans="2:18" s="302" customFormat="1" ht="20.100000000000001" customHeight="1" x14ac:dyDescent="0.25">
      <c r="B26" s="451" t="s">
        <v>423</v>
      </c>
      <c r="C26" s="388"/>
      <c r="D26" s="447">
        <f>VLOOKUP(B26,DG_SUE!$A$115:$D$162,2,FALSE)</f>
        <v>0</v>
      </c>
      <c r="E26" s="384">
        <f t="shared" si="7"/>
        <v>0</v>
      </c>
      <c r="F26" s="447">
        <f>VLOOKUP(B26,DG_SUE!$A$115:$D$162,4,FALSE)</f>
        <v>0</v>
      </c>
      <c r="G26" s="384">
        <f t="shared" si="8"/>
        <v>0</v>
      </c>
      <c r="H26" s="385"/>
      <c r="I26" s="384">
        <f t="shared" si="9"/>
        <v>0</v>
      </c>
      <c r="J26" s="447">
        <f>VLOOKUP(B26,DG_SUE!$A$115:$D$162,3,FALSE)</f>
        <v>0</v>
      </c>
      <c r="K26" s="380">
        <f t="shared" si="10"/>
        <v>0</v>
      </c>
      <c r="L26" s="387"/>
      <c r="M26" s="447">
        <f>VLOOKUP(B26,DG_SUE!$A$115:$D$162,2,FALSE)</f>
        <v>0</v>
      </c>
      <c r="N26" s="384">
        <f t="shared" si="11"/>
        <v>0</v>
      </c>
      <c r="O26" s="447">
        <f>VLOOKUP(B26,DG_SUE!$A$115:$D$162,4,FALSE)</f>
        <v>0</v>
      </c>
      <c r="P26" s="384">
        <f t="shared" si="12"/>
        <v>0</v>
      </c>
      <c r="Q26" s="447">
        <f>VLOOKUP(B26,DG_SUE!$A$115:$D$162,3,FALSE)</f>
        <v>0</v>
      </c>
      <c r="R26" s="380">
        <f t="shared" si="13"/>
        <v>0</v>
      </c>
    </row>
    <row r="27" spans="2:18" s="302" customFormat="1" ht="20.100000000000001" customHeight="1" x14ac:dyDescent="0.25">
      <c r="B27" s="451" t="s">
        <v>423</v>
      </c>
      <c r="C27" s="388"/>
      <c r="D27" s="447">
        <f>VLOOKUP(B27,DG_SUE!$A$115:$D$162,2,FALSE)</f>
        <v>0</v>
      </c>
      <c r="E27" s="384">
        <f t="shared" si="7"/>
        <v>0</v>
      </c>
      <c r="F27" s="447">
        <f>VLOOKUP(B27,DG_SUE!$A$115:$D$162,4,FALSE)</f>
        <v>0</v>
      </c>
      <c r="G27" s="384">
        <f t="shared" si="8"/>
        <v>0</v>
      </c>
      <c r="H27" s="385"/>
      <c r="I27" s="384">
        <f t="shared" si="9"/>
        <v>0</v>
      </c>
      <c r="J27" s="447">
        <f>VLOOKUP(B27,DG_SUE!$A$115:$D$162,3,FALSE)</f>
        <v>0</v>
      </c>
      <c r="K27" s="380">
        <f t="shared" si="10"/>
        <v>0</v>
      </c>
      <c r="L27" s="387"/>
      <c r="M27" s="447">
        <f>VLOOKUP(B27,DG_SUE!$A$115:$D$162,2,FALSE)</f>
        <v>0</v>
      </c>
      <c r="N27" s="384">
        <f t="shared" si="11"/>
        <v>0</v>
      </c>
      <c r="O27" s="447">
        <f>VLOOKUP(B27,DG_SUE!$A$115:$D$162,4,FALSE)</f>
        <v>0</v>
      </c>
      <c r="P27" s="384">
        <f t="shared" si="12"/>
        <v>0</v>
      </c>
      <c r="Q27" s="447">
        <f>VLOOKUP(B27,DG_SUE!$A$115:$D$162,3,FALSE)</f>
        <v>0</v>
      </c>
      <c r="R27" s="380">
        <f t="shared" si="13"/>
        <v>0</v>
      </c>
    </row>
    <row r="28" spans="2:18" s="302" customFormat="1" ht="20.100000000000001" customHeight="1" x14ac:dyDescent="0.25">
      <c r="B28" s="389"/>
      <c r="C28" s="388"/>
      <c r="D28" s="385"/>
      <c r="E28" s="384">
        <f t="shared" si="7"/>
        <v>0</v>
      </c>
      <c r="F28" s="385"/>
      <c r="G28" s="384">
        <f t="shared" si="8"/>
        <v>0</v>
      </c>
      <c r="H28" s="385"/>
      <c r="I28" s="384">
        <f t="shared" si="9"/>
        <v>0</v>
      </c>
      <c r="J28" s="383"/>
      <c r="K28" s="380">
        <f t="shared" si="10"/>
        <v>0</v>
      </c>
      <c r="L28" s="387"/>
      <c r="M28" s="386"/>
      <c r="N28" s="384">
        <f t="shared" si="11"/>
        <v>0</v>
      </c>
      <c r="O28" s="385"/>
      <c r="P28" s="384">
        <f t="shared" si="12"/>
        <v>0</v>
      </c>
      <c r="Q28" s="383"/>
      <c r="R28" s="380">
        <f t="shared" si="13"/>
        <v>0</v>
      </c>
    </row>
    <row r="29" spans="2:18" s="302" customFormat="1" ht="20.100000000000001" customHeight="1" x14ac:dyDescent="0.25">
      <c r="B29" s="389"/>
      <c r="C29" s="388"/>
      <c r="D29" s="385"/>
      <c r="E29" s="384">
        <f t="shared" si="7"/>
        <v>0</v>
      </c>
      <c r="F29" s="385"/>
      <c r="G29" s="384">
        <f t="shared" si="8"/>
        <v>0</v>
      </c>
      <c r="H29" s="385"/>
      <c r="I29" s="384">
        <f t="shared" si="9"/>
        <v>0</v>
      </c>
      <c r="J29" s="383"/>
      <c r="K29" s="380">
        <f t="shared" si="10"/>
        <v>0</v>
      </c>
      <c r="L29" s="387"/>
      <c r="M29" s="386"/>
      <c r="N29" s="384">
        <f t="shared" si="11"/>
        <v>0</v>
      </c>
      <c r="O29" s="385"/>
      <c r="P29" s="384">
        <f t="shared" si="12"/>
        <v>0</v>
      </c>
      <c r="Q29" s="383"/>
      <c r="R29" s="380">
        <f t="shared" si="13"/>
        <v>0</v>
      </c>
    </row>
    <row r="30" spans="2:18" s="302" customFormat="1" ht="20.100000000000001" customHeight="1" x14ac:dyDescent="0.25">
      <c r="B30" s="389"/>
      <c r="C30" s="388"/>
      <c r="D30" s="385"/>
      <c r="E30" s="384">
        <f t="shared" si="7"/>
        <v>0</v>
      </c>
      <c r="F30" s="385"/>
      <c r="G30" s="384">
        <f t="shared" si="8"/>
        <v>0</v>
      </c>
      <c r="H30" s="385"/>
      <c r="I30" s="384">
        <f t="shared" si="9"/>
        <v>0</v>
      </c>
      <c r="J30" s="383"/>
      <c r="K30" s="380">
        <f t="shared" si="10"/>
        <v>0</v>
      </c>
      <c r="L30" s="387"/>
      <c r="M30" s="386"/>
      <c r="N30" s="384">
        <f t="shared" si="11"/>
        <v>0</v>
      </c>
      <c r="O30" s="385"/>
      <c r="P30" s="384">
        <f t="shared" si="12"/>
        <v>0</v>
      </c>
      <c r="Q30" s="383"/>
      <c r="R30" s="380">
        <f t="shared" si="13"/>
        <v>0</v>
      </c>
    </row>
    <row r="31" spans="2:18" s="302" customFormat="1" ht="20.100000000000001" customHeight="1" thickBot="1" x14ac:dyDescent="0.3">
      <c r="B31" s="382"/>
      <c r="C31" s="381"/>
      <c r="D31" s="376"/>
      <c r="E31" s="377">
        <f t="shared" si="7"/>
        <v>0</v>
      </c>
      <c r="F31" s="376"/>
      <c r="G31" s="365">
        <f t="shared" si="8"/>
        <v>0</v>
      </c>
      <c r="H31" s="376"/>
      <c r="I31" s="365">
        <f t="shared" si="9"/>
        <v>0</v>
      </c>
      <c r="J31" s="375"/>
      <c r="K31" s="380">
        <f t="shared" si="10"/>
        <v>0</v>
      </c>
      <c r="L31" s="379"/>
      <c r="M31" s="378"/>
      <c r="N31" s="377">
        <f t="shared" si="11"/>
        <v>0</v>
      </c>
      <c r="O31" s="376"/>
      <c r="P31" s="365">
        <f t="shared" si="12"/>
        <v>0</v>
      </c>
      <c r="Q31" s="375"/>
      <c r="R31" s="374">
        <f t="shared" si="13"/>
        <v>0</v>
      </c>
    </row>
    <row r="32" spans="2:18" s="364" customFormat="1" ht="26.25" customHeight="1" thickBot="1" x14ac:dyDescent="0.3">
      <c r="B32" s="373" t="s">
        <v>286</v>
      </c>
      <c r="C32" s="369"/>
      <c r="D32" s="368" t="s">
        <v>282</v>
      </c>
      <c r="E32" s="372">
        <f>SUM(E23:E31)</f>
        <v>0</v>
      </c>
      <c r="F32" s="367" t="s">
        <v>284</v>
      </c>
      <c r="G32" s="372">
        <f>SUM(G23:G31)</f>
        <v>0</v>
      </c>
      <c r="H32" s="367" t="s">
        <v>285</v>
      </c>
      <c r="I32" s="372">
        <f>SUM(I23:I31)</f>
        <v>0</v>
      </c>
      <c r="J32" s="366" t="s">
        <v>280</v>
      </c>
      <c r="K32" s="372">
        <f>SUM(K24:K31)</f>
        <v>0</v>
      </c>
      <c r="L32" s="369"/>
      <c r="M32" s="368" t="s">
        <v>282</v>
      </c>
      <c r="N32" s="372">
        <f>SUM(N23:N31)</f>
        <v>0</v>
      </c>
      <c r="O32" s="367" t="s">
        <v>284</v>
      </c>
      <c r="P32" s="372">
        <f>SUM(P23:P31)</f>
        <v>0</v>
      </c>
      <c r="Q32" s="366" t="s">
        <v>280</v>
      </c>
      <c r="R32" s="372">
        <f>SUM(R24:R31)</f>
        <v>0</v>
      </c>
    </row>
    <row r="33" spans="1:18" s="364" customFormat="1" ht="31.5" customHeight="1" thickBot="1" x14ac:dyDescent="0.3">
      <c r="B33" s="371" t="s">
        <v>283</v>
      </c>
      <c r="C33" s="369"/>
      <c r="D33" s="368" t="s">
        <v>282</v>
      </c>
      <c r="E33" s="365">
        <f>E32+E22</f>
        <v>0</v>
      </c>
      <c r="F33" s="367" t="s">
        <v>281</v>
      </c>
      <c r="G33" s="365">
        <f>G32+G22</f>
        <v>0</v>
      </c>
      <c r="H33" s="370"/>
      <c r="I33" s="365"/>
      <c r="J33" s="366" t="s">
        <v>280</v>
      </c>
      <c r="K33" s="365">
        <f>+K22+K32</f>
        <v>0</v>
      </c>
      <c r="L33" s="369"/>
      <c r="M33" s="368" t="s">
        <v>282</v>
      </c>
      <c r="N33" s="365">
        <f>N32+N22</f>
        <v>0</v>
      </c>
      <c r="O33" s="367" t="s">
        <v>281</v>
      </c>
      <c r="P33" s="365">
        <f>P32+P22</f>
        <v>0</v>
      </c>
      <c r="Q33" s="366" t="s">
        <v>280</v>
      </c>
      <c r="R33" s="365">
        <f>+R22+R32</f>
        <v>0</v>
      </c>
    </row>
    <row r="34" spans="1:18" s="302" customFormat="1" ht="15" customHeight="1" x14ac:dyDescent="0.25">
      <c r="B34" s="362"/>
      <c r="R34" s="363"/>
    </row>
    <row r="35" spans="1:18" s="302" customFormat="1" ht="15" customHeight="1" x14ac:dyDescent="0.25">
      <c r="B35" s="362"/>
      <c r="R35" s="363" t="s">
        <v>279</v>
      </c>
    </row>
    <row r="36" spans="1:18" s="302" customFormat="1" ht="15" customHeight="1" thickBot="1" x14ac:dyDescent="0.3">
      <c r="B36" s="362"/>
    </row>
    <row r="37" spans="1:18" s="302" customFormat="1" ht="19.2" customHeight="1" thickBot="1" x14ac:dyDescent="0.3">
      <c r="B37" s="362"/>
      <c r="D37" s="357" t="s">
        <v>276</v>
      </c>
      <c r="E37" s="356" t="s">
        <v>275</v>
      </c>
      <c r="F37" s="361"/>
      <c r="G37" s="360"/>
      <c r="H37" s="821" t="s">
        <v>278</v>
      </c>
      <c r="I37" s="822"/>
      <c r="J37" s="822"/>
      <c r="K37" s="822"/>
      <c r="L37" s="359" t="s">
        <v>276</v>
      </c>
      <c r="M37" s="358"/>
      <c r="N37" s="833" t="s">
        <v>277</v>
      </c>
      <c r="O37" s="833"/>
      <c r="P37" s="834"/>
      <c r="Q37" s="357" t="s">
        <v>276</v>
      </c>
      <c r="R37" s="356" t="s">
        <v>275</v>
      </c>
    </row>
    <row r="38" spans="1:18" s="302" customFormat="1" ht="19.2" customHeight="1" thickBot="1" x14ac:dyDescent="0.3">
      <c r="A38" s="288">
        <v>1</v>
      </c>
      <c r="B38" s="301" t="s">
        <v>274</v>
      </c>
      <c r="C38" s="300"/>
      <c r="D38" s="299">
        <f>E33</f>
        <v>0</v>
      </c>
      <c r="E38" s="299">
        <f>N33</f>
        <v>0</v>
      </c>
      <c r="F38" s="355" t="str">
        <f>IF(F66="","",F66-D65-#REF!-D64-D63-D60-D46)</f>
        <v/>
      </c>
      <c r="H38" s="823" t="s">
        <v>273</v>
      </c>
      <c r="I38" s="824"/>
      <c r="J38" s="824"/>
      <c r="K38" s="824"/>
      <c r="L38" s="334">
        <f>IF(I22="","",I22)</f>
        <v>0</v>
      </c>
      <c r="M38" s="354"/>
      <c r="N38" s="838" t="s">
        <v>272</v>
      </c>
      <c r="O38" s="833"/>
      <c r="P38" s="833"/>
      <c r="Q38" s="330"/>
      <c r="R38" s="329"/>
    </row>
    <row r="39" spans="1:18" s="302" customFormat="1" ht="19.2" customHeight="1" x14ac:dyDescent="0.25">
      <c r="A39" s="288">
        <v>2</v>
      </c>
      <c r="B39" s="353" t="s">
        <v>271</v>
      </c>
      <c r="C39" s="352"/>
      <c r="D39" s="304"/>
      <c r="E39" s="304"/>
      <c r="F39" s="284"/>
      <c r="G39" s="283"/>
      <c r="H39" s="827" t="s">
        <v>270</v>
      </c>
      <c r="I39" s="828"/>
      <c r="J39" s="828"/>
      <c r="K39" s="828"/>
      <c r="L39" s="325"/>
      <c r="M39" s="351"/>
      <c r="N39" s="825" t="s">
        <v>269</v>
      </c>
      <c r="O39" s="825"/>
      <c r="P39" s="826"/>
      <c r="Q39" s="350"/>
      <c r="R39" s="350"/>
    </row>
    <row r="40" spans="1:18" s="302" customFormat="1" ht="19.2" customHeight="1" thickBot="1" x14ac:dyDescent="0.3">
      <c r="A40" s="421" t="s">
        <v>309</v>
      </c>
      <c r="B40" s="353" t="s">
        <v>313</v>
      </c>
      <c r="C40" s="352"/>
      <c r="D40" s="445" t="e">
        <f>Übersicht!#REF!</f>
        <v>#REF!</v>
      </c>
      <c r="E40" s="445">
        <f ca="1">Übersicht!F19</f>
        <v>0</v>
      </c>
      <c r="F40" s="284"/>
      <c r="G40" s="283"/>
      <c r="H40" s="420" t="s">
        <v>267</v>
      </c>
      <c r="I40" s="422"/>
      <c r="J40" s="422"/>
      <c r="K40" s="422"/>
      <c r="L40" s="325"/>
      <c r="M40" s="351"/>
      <c r="N40" s="434" t="s">
        <v>266</v>
      </c>
      <c r="O40" s="434"/>
      <c r="P40" s="435"/>
      <c r="Q40" s="349"/>
      <c r="R40" s="349"/>
    </row>
    <row r="41" spans="1:18" s="302" customFormat="1" ht="19.2" customHeight="1" thickBot="1" x14ac:dyDescent="0.3">
      <c r="A41" s="421" t="s">
        <v>310</v>
      </c>
      <c r="B41" s="353" t="s">
        <v>314</v>
      </c>
      <c r="C41" s="352"/>
      <c r="D41" s="445" t="s">
        <v>312</v>
      </c>
      <c r="E41" s="445">
        <f>Übersicht!F34</f>
        <v>0</v>
      </c>
      <c r="F41" s="284"/>
      <c r="G41" s="283"/>
      <c r="H41" s="423" t="s">
        <v>264</v>
      </c>
      <c r="I41" s="424"/>
      <c r="J41" s="424"/>
      <c r="K41" s="424"/>
      <c r="L41" s="325"/>
      <c r="M41" s="351"/>
      <c r="N41" s="436" t="s">
        <v>263</v>
      </c>
      <c r="O41" s="436"/>
      <c r="P41" s="437"/>
      <c r="Q41" s="327">
        <f>Q39*Q40</f>
        <v>0</v>
      </c>
      <c r="R41" s="327">
        <f>R39*R40</f>
        <v>0</v>
      </c>
    </row>
    <row r="42" spans="1:18" s="302" customFormat="1" ht="19.2" customHeight="1" thickBot="1" x14ac:dyDescent="0.3">
      <c r="A42" s="421" t="s">
        <v>311</v>
      </c>
      <c r="B42" s="353" t="s">
        <v>315</v>
      </c>
      <c r="C42" s="352"/>
      <c r="D42" s="445" t="e">
        <f>Übersicht!#REF!</f>
        <v>#REF!</v>
      </c>
      <c r="E42" s="445">
        <f ca="1">Übersicht!F54</f>
        <v>0</v>
      </c>
      <c r="F42" s="284"/>
      <c r="G42" s="283"/>
      <c r="H42" s="420" t="s">
        <v>261</v>
      </c>
      <c r="I42" s="422"/>
      <c r="J42" s="422"/>
      <c r="K42" s="422"/>
      <c r="L42" s="325"/>
      <c r="M42" s="351"/>
      <c r="N42" s="332"/>
      <c r="O42" s="331"/>
      <c r="P42" s="331"/>
      <c r="Q42" s="331"/>
      <c r="R42" s="344"/>
    </row>
    <row r="43" spans="1:18" s="302" customFormat="1" ht="19.2" customHeight="1" thickBot="1" x14ac:dyDescent="0.3">
      <c r="A43" s="288">
        <v>3</v>
      </c>
      <c r="B43" s="348" t="s">
        <v>268</v>
      </c>
      <c r="C43" s="347"/>
      <c r="D43" s="289"/>
      <c r="E43" s="304"/>
      <c r="F43" s="284"/>
      <c r="G43" s="283"/>
      <c r="H43" s="425"/>
      <c r="I43" s="426"/>
      <c r="J43" s="426"/>
      <c r="K43" s="426"/>
      <c r="L43" s="324"/>
      <c r="M43" s="336"/>
      <c r="N43" s="438" t="s">
        <v>259</v>
      </c>
      <c r="O43" s="438"/>
      <c r="P43" s="439"/>
      <c r="Q43" s="327">
        <f>K33</f>
        <v>0</v>
      </c>
      <c r="R43" s="327">
        <f>R33</f>
        <v>0</v>
      </c>
    </row>
    <row r="44" spans="1:18" s="302" customFormat="1" ht="19.2" customHeight="1" thickBot="1" x14ac:dyDescent="0.3">
      <c r="A44" s="288">
        <v>4</v>
      </c>
      <c r="B44" s="348" t="s">
        <v>265</v>
      </c>
      <c r="C44" s="347"/>
      <c r="D44" s="289"/>
      <c r="E44" s="304"/>
      <c r="F44" s="284"/>
      <c r="G44" s="283"/>
      <c r="H44" s="427" t="s">
        <v>257</v>
      </c>
      <c r="I44" s="428"/>
      <c r="J44" s="428"/>
      <c r="K44" s="428"/>
      <c r="L44" s="323">
        <f>SUM(L38:L43)</f>
        <v>0</v>
      </c>
      <c r="M44" s="333"/>
      <c r="N44" s="440" t="s">
        <v>256</v>
      </c>
      <c r="O44" s="440"/>
      <c r="P44" s="441"/>
      <c r="Q44" s="337"/>
      <c r="R44" s="337"/>
    </row>
    <row r="45" spans="1:18" s="302" customFormat="1" ht="19.2" customHeight="1" thickBot="1" x14ac:dyDescent="0.3">
      <c r="A45" s="288">
        <v>5</v>
      </c>
      <c r="B45" s="346" t="s">
        <v>262</v>
      </c>
      <c r="C45" s="345"/>
      <c r="D45" s="307"/>
      <c r="E45" s="304"/>
      <c r="F45" s="284"/>
      <c r="G45" s="283"/>
      <c r="H45" s="429"/>
      <c r="I45" s="428"/>
      <c r="J45" s="428"/>
      <c r="K45" s="428"/>
      <c r="L45" s="430"/>
      <c r="M45" s="328"/>
      <c r="N45" s="836" t="s">
        <v>254</v>
      </c>
      <c r="O45" s="836"/>
      <c r="P45" s="837"/>
      <c r="Q45" s="327">
        <f>Q43+Q44</f>
        <v>0</v>
      </c>
      <c r="R45" s="327">
        <f>R43+R44</f>
        <v>0</v>
      </c>
    </row>
    <row r="46" spans="1:18" s="302" customFormat="1" ht="19.2" customHeight="1" thickBot="1" x14ac:dyDescent="0.3">
      <c r="A46" s="288">
        <v>6</v>
      </c>
      <c r="B46" s="816" t="s">
        <v>260</v>
      </c>
      <c r="C46" s="817"/>
      <c r="D46" s="299" t="e">
        <f>SUM(D39:D45)</f>
        <v>#REF!</v>
      </c>
      <c r="E46" s="299">
        <f ca="1">SUM(E39:E45)</f>
        <v>0</v>
      </c>
      <c r="F46" s="298"/>
      <c r="G46" s="297"/>
      <c r="H46" s="431" t="s">
        <v>252</v>
      </c>
      <c r="I46" s="432"/>
      <c r="J46" s="432"/>
      <c r="K46" s="432"/>
      <c r="L46" s="334">
        <f>IF(I32="","",I32)</f>
        <v>0</v>
      </c>
      <c r="M46" s="343"/>
      <c r="N46" s="332"/>
      <c r="O46" s="331"/>
      <c r="P46" s="331"/>
      <c r="Q46" s="330"/>
      <c r="R46" s="329"/>
    </row>
    <row r="47" spans="1:18" s="302" customFormat="1" ht="19.2" customHeight="1" thickBot="1" x14ac:dyDescent="0.3">
      <c r="A47" s="288">
        <v>7</v>
      </c>
      <c r="B47" s="342" t="s">
        <v>258</v>
      </c>
      <c r="C47" s="341"/>
      <c r="D47" s="340"/>
      <c r="E47" s="339"/>
      <c r="F47" s="284"/>
      <c r="G47" s="283"/>
      <c r="H47" s="420" t="s">
        <v>250</v>
      </c>
      <c r="I47" s="422"/>
      <c r="J47" s="422"/>
      <c r="K47" s="422"/>
      <c r="L47" s="325"/>
      <c r="M47" s="338"/>
      <c r="N47" s="833" t="s">
        <v>240</v>
      </c>
      <c r="O47" s="833"/>
      <c r="P47" s="834"/>
      <c r="Q47" s="327">
        <f>Q41-Q45</f>
        <v>0</v>
      </c>
      <c r="R47" s="327">
        <f>R41-R45</f>
        <v>0</v>
      </c>
    </row>
    <row r="48" spans="1:18" s="302" customFormat="1" ht="19.2" customHeight="1" x14ac:dyDescent="0.25">
      <c r="A48" s="288">
        <v>8</v>
      </c>
      <c r="B48" s="291" t="s">
        <v>255</v>
      </c>
      <c r="C48" s="290"/>
      <c r="D48" s="289"/>
      <c r="E48" s="318"/>
      <c r="F48" s="284"/>
      <c r="G48" s="283"/>
      <c r="H48" s="420" t="s">
        <v>248</v>
      </c>
      <c r="I48" s="422"/>
      <c r="J48" s="422"/>
      <c r="K48" s="433"/>
      <c r="L48" s="325"/>
      <c r="M48" s="442"/>
    </row>
    <row r="49" spans="1:18" s="302" customFormat="1" ht="19.2" customHeight="1" x14ac:dyDescent="0.25">
      <c r="A49" s="288">
        <v>9</v>
      </c>
      <c r="B49" s="335" t="s">
        <v>253</v>
      </c>
      <c r="C49" s="290"/>
      <c r="D49" s="289"/>
      <c r="E49" s="318"/>
      <c r="F49" s="284"/>
      <c r="G49" s="283"/>
      <c r="H49" s="420" t="s">
        <v>246</v>
      </c>
      <c r="I49" s="422"/>
      <c r="J49" s="422"/>
      <c r="K49" s="433"/>
      <c r="L49" s="325"/>
      <c r="M49" s="443"/>
    </row>
    <row r="50" spans="1:18" s="302" customFormat="1" ht="19.2" customHeight="1" thickBot="1" x14ac:dyDescent="0.3">
      <c r="A50" s="288">
        <v>10</v>
      </c>
      <c r="B50" s="291" t="s">
        <v>251</v>
      </c>
      <c r="C50" s="290"/>
      <c r="D50" s="289"/>
      <c r="E50" s="318"/>
      <c r="F50" s="284"/>
      <c r="G50" s="283"/>
      <c r="H50" s="425"/>
      <c r="I50" s="426"/>
      <c r="J50" s="426"/>
      <c r="K50" s="426"/>
      <c r="L50" s="324"/>
      <c r="M50" s="444"/>
    </row>
    <row r="51" spans="1:18" s="302" customFormat="1" ht="19.2" customHeight="1" thickBot="1" x14ac:dyDescent="0.3">
      <c r="A51" s="288">
        <v>11</v>
      </c>
      <c r="B51" s="291" t="s">
        <v>249</v>
      </c>
      <c r="C51" s="290"/>
      <c r="D51" s="326"/>
      <c r="E51" s="318"/>
      <c r="F51" s="284"/>
      <c r="G51" s="283"/>
      <c r="H51" s="821" t="s">
        <v>243</v>
      </c>
      <c r="I51" s="832"/>
      <c r="J51" s="832"/>
      <c r="K51" s="832"/>
      <c r="L51" s="323">
        <f>SUM(L46:L50)</f>
        <v>0</v>
      </c>
    </row>
    <row r="52" spans="1:18" s="302" customFormat="1" ht="19.2" customHeight="1" thickBot="1" x14ac:dyDescent="0.3">
      <c r="A52" s="288">
        <v>12</v>
      </c>
      <c r="B52" s="291" t="s">
        <v>247</v>
      </c>
      <c r="C52" s="290"/>
      <c r="D52" s="289"/>
      <c r="E52" s="318"/>
      <c r="F52" s="284"/>
      <c r="G52" s="283"/>
      <c r="H52" s="322"/>
      <c r="I52" s="321"/>
      <c r="J52" s="321"/>
      <c r="K52" s="321"/>
      <c r="L52" s="320"/>
      <c r="R52" s="280"/>
    </row>
    <row r="53" spans="1:18" s="302" customFormat="1" ht="19.2" customHeight="1" thickBot="1" x14ac:dyDescent="0.3">
      <c r="A53" s="288">
        <v>13</v>
      </c>
      <c r="B53" s="291" t="s">
        <v>245</v>
      </c>
      <c r="C53" s="290"/>
      <c r="D53" s="289"/>
      <c r="E53" s="318"/>
      <c r="F53" s="284"/>
      <c r="G53" s="283"/>
      <c r="H53" s="829" t="s">
        <v>240</v>
      </c>
      <c r="I53" s="830"/>
      <c r="J53" s="830"/>
      <c r="K53" s="831"/>
      <c r="L53" s="319">
        <f>L44-L51</f>
        <v>0</v>
      </c>
      <c r="M53" s="280"/>
      <c r="N53" s="280"/>
      <c r="O53" s="280"/>
      <c r="P53" s="280"/>
      <c r="Q53" s="280"/>
      <c r="R53" s="280"/>
    </row>
    <row r="54" spans="1:18" s="302" customFormat="1" ht="19.2" customHeight="1" x14ac:dyDescent="0.25">
      <c r="A54" s="288">
        <v>14</v>
      </c>
      <c r="B54" s="291" t="s">
        <v>244</v>
      </c>
      <c r="C54" s="290"/>
      <c r="D54" s="289"/>
      <c r="E54" s="318"/>
      <c r="F54" s="284"/>
      <c r="G54" s="283"/>
      <c r="M54" s="280"/>
    </row>
    <row r="55" spans="1:18" s="302" customFormat="1" ht="19.2" customHeight="1" x14ac:dyDescent="0.25">
      <c r="A55" s="288">
        <v>15</v>
      </c>
      <c r="B55" s="291" t="s">
        <v>242</v>
      </c>
      <c r="C55" s="290"/>
      <c r="D55" s="289"/>
      <c r="E55" s="318"/>
      <c r="F55" s="284"/>
      <c r="G55" s="283"/>
      <c r="M55" s="280"/>
    </row>
    <row r="56" spans="1:18" s="302" customFormat="1" ht="19.2" customHeight="1" x14ac:dyDescent="0.25">
      <c r="A56" s="288">
        <v>16</v>
      </c>
      <c r="B56" s="291" t="s">
        <v>241</v>
      </c>
      <c r="C56" s="290"/>
      <c r="D56" s="289"/>
      <c r="E56" s="318"/>
      <c r="F56" s="284"/>
      <c r="G56" s="283"/>
      <c r="M56" s="280"/>
    </row>
    <row r="57" spans="1:18" s="302" customFormat="1" ht="19.2" customHeight="1" x14ac:dyDescent="0.25">
      <c r="A57" s="288">
        <v>17</v>
      </c>
      <c r="B57" s="291" t="s">
        <v>239</v>
      </c>
      <c r="C57" s="290"/>
      <c r="D57" s="289"/>
      <c r="E57" s="318"/>
      <c r="F57" s="284"/>
      <c r="G57" s="283"/>
      <c r="H57" s="283"/>
      <c r="I57" s="283"/>
      <c r="K57" s="303"/>
      <c r="L57" s="280"/>
      <c r="M57" s="280"/>
      <c r="N57" s="280"/>
      <c r="O57" s="280"/>
      <c r="P57" s="280"/>
      <c r="Q57" s="280"/>
      <c r="R57" s="280"/>
    </row>
    <row r="58" spans="1:18" s="302" customFormat="1" ht="19.2" customHeight="1" x14ac:dyDescent="0.25">
      <c r="A58" s="288">
        <v>18</v>
      </c>
      <c r="B58" s="291" t="s">
        <v>238</v>
      </c>
      <c r="C58" s="290"/>
      <c r="D58" s="289"/>
      <c r="E58" s="318"/>
      <c r="F58" s="284"/>
      <c r="G58" s="283"/>
      <c r="H58" s="283"/>
      <c r="I58" s="283"/>
      <c r="K58" s="303"/>
      <c r="L58" s="280"/>
      <c r="M58" s="280"/>
      <c r="N58" s="280"/>
      <c r="O58" s="280"/>
      <c r="P58" s="280"/>
      <c r="Q58" s="280"/>
      <c r="R58" s="280"/>
    </row>
    <row r="59" spans="1:18" s="302" customFormat="1" ht="19.2" customHeight="1" thickBot="1" x14ac:dyDescent="0.3">
      <c r="A59" s="288">
        <v>19</v>
      </c>
      <c r="B59" s="317" t="s">
        <v>237</v>
      </c>
      <c r="C59" s="315"/>
      <c r="D59" s="307"/>
      <c r="E59" s="306"/>
      <c r="F59" s="284"/>
      <c r="G59" s="283"/>
      <c r="H59" s="283"/>
      <c r="I59" s="283"/>
      <c r="K59" s="303"/>
      <c r="L59" s="280"/>
      <c r="M59" s="280"/>
      <c r="N59" s="280"/>
      <c r="O59" s="280"/>
      <c r="P59" s="280"/>
      <c r="Q59" s="280"/>
      <c r="R59" s="280"/>
    </row>
    <row r="60" spans="1:18" s="302" customFormat="1" ht="19.2" customHeight="1" thickBot="1" x14ac:dyDescent="0.3">
      <c r="A60" s="288">
        <v>20</v>
      </c>
      <c r="B60" s="301" t="s">
        <v>236</v>
      </c>
      <c r="C60" s="300"/>
      <c r="D60" s="299">
        <f>SUM(D47:D59)</f>
        <v>0</v>
      </c>
      <c r="E60" s="299">
        <f>SUM(E47:E59)</f>
        <v>0</v>
      </c>
      <c r="F60" s="298"/>
      <c r="G60" s="297"/>
      <c r="H60" s="297"/>
      <c r="I60" s="297"/>
      <c r="K60" s="303"/>
      <c r="L60" s="280"/>
      <c r="M60" s="280"/>
      <c r="N60" s="280"/>
      <c r="O60" s="280"/>
      <c r="P60" s="280"/>
      <c r="Q60" s="280"/>
      <c r="R60" s="280"/>
    </row>
    <row r="61" spans="1:18" s="302" customFormat="1" ht="19.2" customHeight="1" thickBot="1" x14ac:dyDescent="0.3">
      <c r="A61" s="288">
        <v>21</v>
      </c>
      <c r="B61" s="316"/>
      <c r="C61" s="315"/>
      <c r="D61" s="314"/>
      <c r="E61" s="313"/>
      <c r="F61" s="284"/>
      <c r="G61" s="283"/>
      <c r="H61" s="283"/>
      <c r="I61" s="283"/>
      <c r="K61" s="303"/>
      <c r="L61" s="280"/>
      <c r="M61" s="280"/>
      <c r="N61" s="280"/>
      <c r="O61" s="280"/>
      <c r="P61" s="280"/>
      <c r="Q61" s="280"/>
      <c r="R61" s="280"/>
    </row>
    <row r="62" spans="1:18" s="302" customFormat="1" ht="19.2" customHeight="1" thickBot="1" x14ac:dyDescent="0.3">
      <c r="A62" s="288">
        <v>22</v>
      </c>
      <c r="B62" s="301" t="s">
        <v>235</v>
      </c>
      <c r="C62" s="300"/>
      <c r="D62" s="299" t="e">
        <f>D38+D46+D60</f>
        <v>#REF!</v>
      </c>
      <c r="E62" s="299">
        <f ca="1">E38+E46+E60</f>
        <v>0</v>
      </c>
      <c r="F62" s="298"/>
      <c r="G62" s="297"/>
      <c r="H62" s="297"/>
      <c r="I62" s="297"/>
      <c r="K62" s="312"/>
      <c r="L62" s="280"/>
      <c r="M62" s="280"/>
      <c r="N62" s="280"/>
      <c r="O62" s="280"/>
      <c r="P62" s="280"/>
      <c r="Q62" s="280"/>
      <c r="R62" s="280"/>
    </row>
    <row r="63" spans="1:18" s="302" customFormat="1" ht="19.2" customHeight="1" x14ac:dyDescent="0.25">
      <c r="A63" s="288">
        <v>23</v>
      </c>
      <c r="B63" s="291" t="s">
        <v>234</v>
      </c>
      <c r="C63" s="290"/>
      <c r="D63" s="304"/>
      <c r="E63" s="304"/>
      <c r="F63" s="284"/>
      <c r="G63" s="283"/>
      <c r="H63" s="283"/>
      <c r="I63" s="283"/>
      <c r="K63" s="303"/>
      <c r="L63" s="280"/>
      <c r="M63" s="280"/>
      <c r="N63" s="280"/>
      <c r="O63" s="280"/>
      <c r="P63" s="280"/>
      <c r="Q63" s="280"/>
      <c r="R63" s="280"/>
    </row>
    <row r="64" spans="1:18" s="302" customFormat="1" ht="19.2" customHeight="1" x14ac:dyDescent="0.25">
      <c r="A64" s="288">
        <v>24</v>
      </c>
      <c r="B64" s="291" t="s">
        <v>233</v>
      </c>
      <c r="C64" s="290"/>
      <c r="D64" s="289"/>
      <c r="E64" s="304"/>
      <c r="F64" s="284"/>
      <c r="G64" s="283"/>
      <c r="H64" s="283"/>
      <c r="I64" s="283"/>
      <c r="K64" s="303"/>
      <c r="L64" s="280"/>
      <c r="M64" s="280"/>
      <c r="N64" s="280"/>
      <c r="O64" s="280"/>
      <c r="P64" s="280"/>
      <c r="Q64" s="280"/>
      <c r="R64" s="280"/>
    </row>
    <row r="65" spans="1:18" s="302" customFormat="1" ht="19.2" customHeight="1" thickBot="1" x14ac:dyDescent="0.3">
      <c r="A65" s="288">
        <v>25</v>
      </c>
      <c r="B65" s="309" t="s">
        <v>232</v>
      </c>
      <c r="C65" s="308"/>
      <c r="D65" s="307"/>
      <c r="E65" s="304"/>
      <c r="F65" s="284"/>
      <c r="G65" s="283"/>
      <c r="H65" s="283"/>
      <c r="I65" s="283"/>
      <c r="K65" s="303"/>
      <c r="L65" s="280"/>
      <c r="M65" s="280"/>
      <c r="N65" s="280"/>
      <c r="O65" s="280"/>
      <c r="P65" s="280"/>
      <c r="Q65" s="280"/>
      <c r="R65" s="280"/>
    </row>
    <row r="66" spans="1:18" s="302" customFormat="1" ht="19.2" customHeight="1" thickBot="1" x14ac:dyDescent="0.3">
      <c r="A66" s="288">
        <v>26</v>
      </c>
      <c r="B66" s="301" t="s">
        <v>231</v>
      </c>
      <c r="C66" s="300"/>
      <c r="D66" s="299" t="e">
        <f>D62+SUM(D63:D65)</f>
        <v>#REF!</v>
      </c>
      <c r="E66" s="299">
        <f ca="1">E62+SUM(E63:E65)</f>
        <v>0</v>
      </c>
      <c r="F66" s="311"/>
      <c r="K66" s="303"/>
      <c r="L66" s="280"/>
      <c r="M66" s="280"/>
      <c r="N66" s="280"/>
      <c r="O66" s="280"/>
      <c r="P66" s="280"/>
      <c r="Q66" s="280"/>
      <c r="R66" s="280"/>
    </row>
    <row r="67" spans="1:18" s="302" customFormat="1" ht="19.2" customHeight="1" x14ac:dyDescent="0.25">
      <c r="A67" s="288">
        <v>27</v>
      </c>
      <c r="B67" s="296" t="s">
        <v>230</v>
      </c>
      <c r="C67" s="305"/>
      <c r="D67" s="304"/>
      <c r="E67" s="304"/>
      <c r="F67" s="284"/>
      <c r="G67" s="283"/>
      <c r="H67" s="283"/>
      <c r="I67" s="283"/>
      <c r="K67" s="303"/>
      <c r="L67" s="280"/>
      <c r="M67" s="280"/>
      <c r="N67" s="280"/>
      <c r="O67" s="280"/>
      <c r="P67" s="280"/>
      <c r="Q67" s="280"/>
      <c r="R67" s="280"/>
    </row>
    <row r="68" spans="1:18" s="302" customFormat="1" ht="19.2" customHeight="1" x14ac:dyDescent="0.25">
      <c r="A68" s="288">
        <v>28</v>
      </c>
      <c r="B68" s="291" t="s">
        <v>229</v>
      </c>
      <c r="C68" s="290"/>
      <c r="D68" s="310" t="e">
        <f>SUM(D66:D67)</f>
        <v>#REF!</v>
      </c>
      <c r="E68" s="310">
        <f ca="1">SUM(E66:E67)</f>
        <v>0</v>
      </c>
      <c r="F68" s="284"/>
      <c r="G68" s="283"/>
      <c r="H68" s="283"/>
      <c r="I68" s="283"/>
      <c r="K68" s="303"/>
      <c r="L68" s="280"/>
      <c r="M68" s="280"/>
      <c r="N68" s="280"/>
      <c r="O68" s="280"/>
      <c r="P68" s="280"/>
      <c r="Q68" s="280"/>
      <c r="R68" s="280"/>
    </row>
    <row r="69" spans="1:18" s="302" customFormat="1" ht="19.2" customHeight="1" thickBot="1" x14ac:dyDescent="0.3">
      <c r="A69" s="288">
        <v>29</v>
      </c>
      <c r="B69" s="309" t="s">
        <v>228</v>
      </c>
      <c r="C69" s="308"/>
      <c r="D69" s="307"/>
      <c r="E69" s="306"/>
      <c r="F69" s="284"/>
      <c r="G69" s="283"/>
      <c r="H69" s="283"/>
      <c r="I69" s="283"/>
      <c r="K69" s="303"/>
      <c r="L69" s="280"/>
      <c r="M69" s="280"/>
      <c r="N69" s="280"/>
      <c r="O69" s="280"/>
      <c r="P69" s="280"/>
      <c r="Q69" s="280"/>
      <c r="R69" s="280"/>
    </row>
    <row r="70" spans="1:18" s="302" customFormat="1" ht="19.2" customHeight="1" thickBot="1" x14ac:dyDescent="0.3">
      <c r="A70" s="288">
        <v>30</v>
      </c>
      <c r="B70" s="301" t="s">
        <v>227</v>
      </c>
      <c r="C70" s="300"/>
      <c r="D70" s="299" t="e">
        <f>SUM(D68:D69)</f>
        <v>#REF!</v>
      </c>
      <c r="E70" s="299">
        <f ca="1">SUM(E68:E69)</f>
        <v>0</v>
      </c>
      <c r="F70" s="298"/>
      <c r="G70" s="297"/>
      <c r="H70" s="297"/>
      <c r="I70" s="297"/>
      <c r="K70" s="303"/>
      <c r="L70" s="280"/>
      <c r="M70" s="280"/>
      <c r="N70" s="280"/>
      <c r="O70" s="280"/>
      <c r="P70" s="280"/>
      <c r="Q70" s="280"/>
      <c r="R70" s="280"/>
    </row>
    <row r="71" spans="1:18" s="302" customFormat="1" ht="19.2" customHeight="1" thickBot="1" x14ac:dyDescent="0.3">
      <c r="A71" s="288">
        <v>31</v>
      </c>
      <c r="B71" s="296" t="s">
        <v>225</v>
      </c>
      <c r="C71" s="305"/>
      <c r="D71" s="304">
        <f>-D65</f>
        <v>0</v>
      </c>
      <c r="E71" s="304">
        <f>-E65</f>
        <v>0</v>
      </c>
      <c r="F71" s="284"/>
      <c r="G71" s="283"/>
      <c r="H71" s="283"/>
      <c r="I71" s="283"/>
      <c r="K71" s="303"/>
      <c r="L71" s="280"/>
      <c r="M71" s="280"/>
      <c r="N71" s="280"/>
      <c r="O71" s="280"/>
      <c r="P71" s="280"/>
      <c r="Q71" s="280"/>
      <c r="R71" s="280"/>
    </row>
    <row r="72" spans="1:18" ht="19.2" customHeight="1" thickBot="1" x14ac:dyDescent="0.3">
      <c r="A72" s="288">
        <v>32</v>
      </c>
      <c r="B72" s="301" t="s">
        <v>226</v>
      </c>
      <c r="C72" s="300"/>
      <c r="D72" s="299" t="e">
        <f>SUM(D70:D71)</f>
        <v>#REF!</v>
      </c>
      <c r="E72" s="299">
        <f ca="1">SUM(E70:E71)</f>
        <v>0</v>
      </c>
      <c r="F72" s="298"/>
      <c r="G72" s="297"/>
      <c r="H72" s="297"/>
      <c r="I72" s="297"/>
      <c r="K72" s="282"/>
    </row>
    <row r="73" spans="1:18" ht="19.2" customHeight="1" x14ac:dyDescent="0.25">
      <c r="A73" s="288">
        <v>33</v>
      </c>
      <c r="B73" s="296" t="s">
        <v>225</v>
      </c>
      <c r="C73" s="295"/>
      <c r="D73" s="294">
        <f>D71</f>
        <v>0</v>
      </c>
      <c r="E73" s="294">
        <f>E71</f>
        <v>0</v>
      </c>
      <c r="F73" s="293"/>
      <c r="G73" s="292"/>
      <c r="H73" s="292"/>
      <c r="I73" s="292"/>
      <c r="K73" s="282"/>
    </row>
    <row r="74" spans="1:18" ht="19.2" customHeight="1" x14ac:dyDescent="0.25">
      <c r="A74" s="288">
        <v>34</v>
      </c>
      <c r="B74" s="291" t="s">
        <v>224</v>
      </c>
      <c r="C74" s="290"/>
      <c r="D74" s="289"/>
      <c r="E74" s="289"/>
      <c r="F74" s="284"/>
      <c r="G74" s="283"/>
      <c r="H74" s="283"/>
      <c r="I74" s="283"/>
      <c r="K74" s="282"/>
    </row>
    <row r="75" spans="1:18" ht="19.2" customHeight="1" thickBot="1" x14ac:dyDescent="0.3">
      <c r="A75" s="288">
        <v>35</v>
      </c>
      <c r="B75" s="287" t="s">
        <v>223</v>
      </c>
      <c r="C75" s="286"/>
      <c r="D75" s="285">
        <f>SUM(D73:D74)</f>
        <v>0</v>
      </c>
      <c r="E75" s="285">
        <f>SUM(E73:E74)</f>
        <v>0</v>
      </c>
      <c r="F75" s="284"/>
      <c r="G75" s="283"/>
      <c r="H75" s="283"/>
      <c r="I75" s="283"/>
      <c r="K75" s="282"/>
    </row>
    <row r="76" spans="1:18" x14ac:dyDescent="0.25">
      <c r="B76" s="281"/>
    </row>
    <row r="77" spans="1:18" x14ac:dyDescent="0.25">
      <c r="B77" s="281"/>
    </row>
    <row r="78" spans="1:18" x14ac:dyDescent="0.25">
      <c r="B78" s="281"/>
    </row>
    <row r="79" spans="1:18" x14ac:dyDescent="0.25">
      <c r="B79" s="281"/>
    </row>
    <row r="80" spans="1:18" x14ac:dyDescent="0.25">
      <c r="B80" s="281"/>
    </row>
    <row r="81" spans="2:2" x14ac:dyDescent="0.25">
      <c r="B81" s="281"/>
    </row>
    <row r="82" spans="2:2" x14ac:dyDescent="0.25">
      <c r="B82" s="281"/>
    </row>
    <row r="83" spans="2:2" x14ac:dyDescent="0.25">
      <c r="B83" s="281"/>
    </row>
    <row r="84" spans="2:2" x14ac:dyDescent="0.25">
      <c r="B84" s="281"/>
    </row>
    <row r="85" spans="2:2" x14ac:dyDescent="0.25">
      <c r="B85" s="281"/>
    </row>
    <row r="86" spans="2:2" x14ac:dyDescent="0.25">
      <c r="B86" s="281"/>
    </row>
    <row r="87" spans="2:2" x14ac:dyDescent="0.25">
      <c r="B87" s="281"/>
    </row>
    <row r="88" spans="2:2" x14ac:dyDescent="0.25">
      <c r="B88" s="281"/>
    </row>
    <row r="89" spans="2:2" x14ac:dyDescent="0.25">
      <c r="B89" s="281"/>
    </row>
  </sheetData>
  <sheetProtection algorithmName="SHA-512" hashValue="iy/qTUA430iF/f/XKGj2bAVF1YPKo3mvGQRdsmBAdHOHhdVadYyORVK01WJzYguCuDAh6AfyLXrwRHC+ahV4MA==" saltValue="wSljroyx5EndCyTdRY56RQ==" spinCount="100000" sheet="1" objects="1" scenarios="1" selectLockedCells="1"/>
  <mergeCells count="21">
    <mergeCell ref="H53:K53"/>
    <mergeCell ref="H51:K51"/>
    <mergeCell ref="N47:P47"/>
    <mergeCell ref="D3:E3"/>
    <mergeCell ref="J3:K3"/>
    <mergeCell ref="M3:N3"/>
    <mergeCell ref="F3:G3"/>
    <mergeCell ref="N45:P45"/>
    <mergeCell ref="N37:P37"/>
    <mergeCell ref="H3:I3"/>
    <mergeCell ref="N38:P38"/>
    <mergeCell ref="F1:K1"/>
    <mergeCell ref="C2:K2"/>
    <mergeCell ref="L2:R2"/>
    <mergeCell ref="B46:C46"/>
    <mergeCell ref="Q3:R3"/>
    <mergeCell ref="O3:P3"/>
    <mergeCell ref="H37:K37"/>
    <mergeCell ref="H38:K38"/>
    <mergeCell ref="N39:P39"/>
    <mergeCell ref="H39:K39"/>
  </mergeCells>
  <printOptions horizontalCentered="1"/>
  <pageMargins left="0.39370078740157483" right="0.39370078740157483" top="0.51181102362204722" bottom="0.39370078740157483" header="0.39370078740157483" footer="0.19685039370078741"/>
  <pageSetup paperSize="9" scale="73" fitToHeight="2" orientation="landscape" r:id="rId1"/>
  <headerFooter alignWithMargins="0"/>
  <rowBreaks count="1" manualBreakCount="1">
    <brk id="34" max="17" man="1"/>
  </rowBreaks>
  <ignoredErrors>
    <ignoredError sqref="F5:F12" formula="1"/>
  </ignoredError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DG_SUE!$A$5:$A$113</xm:f>
          </x14:formula1>
          <xm:sqref>B5:B12</xm:sqref>
        </x14:dataValidation>
        <x14:dataValidation type="list" allowBlank="1" showInputMessage="1" showErrorMessage="1" xr:uid="{00000000-0002-0000-0600-000001000000}">
          <x14:formula1>
            <xm:f>DG_SUE!$A$115:$A$162</xm:f>
          </x14:formula1>
          <xm:sqref>B23:B27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12"/>
  <dimension ref="A2:D162"/>
  <sheetViews>
    <sheetView workbookViewId="0">
      <selection activeCell="F124" sqref="F124"/>
    </sheetView>
  </sheetViews>
  <sheetFormatPr baseColWidth="10" defaultRowHeight="13.8" x14ac:dyDescent="0.25"/>
  <cols>
    <col min="1" max="1" width="18.8984375" customWidth="1"/>
  </cols>
  <sheetData>
    <row r="2" spans="1:4" x14ac:dyDescent="0.25">
      <c r="A2" t="s">
        <v>308</v>
      </c>
    </row>
    <row r="4" spans="1:4" x14ac:dyDescent="0.25">
      <c r="A4" t="s">
        <v>304</v>
      </c>
      <c r="B4" t="s">
        <v>394</v>
      </c>
      <c r="C4" t="s">
        <v>424</v>
      </c>
      <c r="D4" t="s">
        <v>425</v>
      </c>
    </row>
    <row r="5" spans="1:4" x14ac:dyDescent="0.25">
      <c r="A5" t="s">
        <v>423</v>
      </c>
      <c r="B5">
        <v>0</v>
      </c>
      <c r="C5">
        <v>0</v>
      </c>
      <c r="D5">
        <v>0</v>
      </c>
    </row>
    <row r="6" spans="1:4" x14ac:dyDescent="0.25">
      <c r="A6" t="s">
        <v>317</v>
      </c>
      <c r="B6">
        <v>573.08365311177522</v>
      </c>
      <c r="C6">
        <v>8.59</v>
      </c>
      <c r="D6">
        <v>0</v>
      </c>
    </row>
    <row r="7" spans="1:4" x14ac:dyDescent="0.25">
      <c r="A7" t="s">
        <v>318</v>
      </c>
      <c r="B7">
        <v>726.11870978816432</v>
      </c>
      <c r="C7">
        <v>9.0399999999999991</v>
      </c>
      <c r="D7">
        <v>0</v>
      </c>
    </row>
    <row r="8" spans="1:4" x14ac:dyDescent="0.25">
      <c r="A8" t="s">
        <v>319</v>
      </c>
      <c r="B8">
        <v>953.25556735144926</v>
      </c>
      <c r="C8">
        <v>9.7600000000000016</v>
      </c>
      <c r="D8">
        <v>0</v>
      </c>
    </row>
    <row r="9" spans="1:4" x14ac:dyDescent="0.25">
      <c r="A9" t="s">
        <v>320</v>
      </c>
      <c r="B9">
        <v>726.11870978816432</v>
      </c>
      <c r="C9">
        <v>6.870000000000001</v>
      </c>
      <c r="D9">
        <v>0</v>
      </c>
    </row>
    <row r="10" spans="1:4" x14ac:dyDescent="0.25">
      <c r="A10" t="s">
        <v>321</v>
      </c>
      <c r="B10">
        <v>953.25556735144926</v>
      </c>
      <c r="C10">
        <v>7.6000000000000014</v>
      </c>
      <c r="D10">
        <v>0</v>
      </c>
    </row>
    <row r="11" spans="1:4" x14ac:dyDescent="0.25">
      <c r="A11" t="s">
        <v>322</v>
      </c>
      <c r="B11">
        <v>726.11870978816432</v>
      </c>
      <c r="C11">
        <v>4.6100000000000003</v>
      </c>
      <c r="D11">
        <v>0</v>
      </c>
    </row>
    <row r="12" spans="1:4" x14ac:dyDescent="0.25">
      <c r="A12" t="s">
        <v>323</v>
      </c>
      <c r="B12">
        <v>953.25556735144926</v>
      </c>
      <c r="C12">
        <v>5.0399999999999991</v>
      </c>
      <c r="D12">
        <v>0</v>
      </c>
    </row>
    <row r="13" spans="1:4" x14ac:dyDescent="0.25">
      <c r="A13" t="s">
        <v>324</v>
      </c>
      <c r="B13">
        <v>498.61886088647327</v>
      </c>
      <c r="C13">
        <v>8.59</v>
      </c>
      <c r="D13">
        <v>0</v>
      </c>
    </row>
    <row r="14" spans="1:4" x14ac:dyDescent="0.25">
      <c r="A14" t="s">
        <v>325</v>
      </c>
      <c r="B14">
        <v>710.93112346256021</v>
      </c>
      <c r="C14">
        <v>9.0399999999999991</v>
      </c>
      <c r="D14">
        <v>0</v>
      </c>
    </row>
    <row r="15" spans="1:4" x14ac:dyDescent="0.25">
      <c r="A15" t="s">
        <v>326</v>
      </c>
      <c r="B15">
        <v>930.26934497584546</v>
      </c>
      <c r="C15">
        <v>9.7600000000000016</v>
      </c>
      <c r="D15">
        <v>0</v>
      </c>
    </row>
    <row r="16" spans="1:4" x14ac:dyDescent="0.25">
      <c r="A16" t="s">
        <v>327</v>
      </c>
      <c r="B16">
        <v>710.93112346256021</v>
      </c>
      <c r="C16">
        <v>6.870000000000001</v>
      </c>
      <c r="D16">
        <v>0</v>
      </c>
    </row>
    <row r="17" spans="1:4" x14ac:dyDescent="0.25">
      <c r="A17" t="s">
        <v>328</v>
      </c>
      <c r="B17">
        <v>930.26934497584546</v>
      </c>
      <c r="C17">
        <v>7.6000000000000014</v>
      </c>
      <c r="D17">
        <v>0</v>
      </c>
    </row>
    <row r="18" spans="1:4" x14ac:dyDescent="0.25">
      <c r="A18" t="s">
        <v>329</v>
      </c>
      <c r="B18">
        <v>710.93112346256021</v>
      </c>
      <c r="C18">
        <v>4.6100000000000003</v>
      </c>
      <c r="D18">
        <v>0</v>
      </c>
    </row>
    <row r="19" spans="1:4" x14ac:dyDescent="0.25">
      <c r="A19" t="s">
        <v>330</v>
      </c>
      <c r="B19">
        <v>930.26934497584546</v>
      </c>
      <c r="C19">
        <v>5.0399999999999991</v>
      </c>
      <c r="D19">
        <v>0</v>
      </c>
    </row>
    <row r="20" spans="1:4" x14ac:dyDescent="0.25">
      <c r="A20" t="s">
        <v>331</v>
      </c>
      <c r="B20">
        <v>459.33353047102662</v>
      </c>
      <c r="C20">
        <v>6.93</v>
      </c>
      <c r="D20">
        <v>0</v>
      </c>
    </row>
    <row r="21" spans="1:4" x14ac:dyDescent="0.25">
      <c r="A21" t="s">
        <v>332</v>
      </c>
      <c r="B21">
        <v>631.86773128350228</v>
      </c>
      <c r="C21">
        <v>7.63</v>
      </c>
      <c r="D21">
        <v>0</v>
      </c>
    </row>
    <row r="22" spans="1:4" x14ac:dyDescent="0.25">
      <c r="A22" t="s">
        <v>333</v>
      </c>
      <c r="B22">
        <v>862.84865892678761</v>
      </c>
      <c r="C22">
        <v>7.63</v>
      </c>
      <c r="D22">
        <v>0</v>
      </c>
    </row>
    <row r="23" spans="1:4" x14ac:dyDescent="0.25">
      <c r="A23" t="s">
        <v>334</v>
      </c>
      <c r="B23">
        <v>631.86773128350228</v>
      </c>
      <c r="C23">
        <v>5.120000000000001</v>
      </c>
      <c r="D23">
        <v>0</v>
      </c>
    </row>
    <row r="24" spans="1:4" x14ac:dyDescent="0.25">
      <c r="A24" t="s">
        <v>335</v>
      </c>
      <c r="B24">
        <v>862.84865892678761</v>
      </c>
      <c r="C24">
        <v>5.77</v>
      </c>
      <c r="D24">
        <v>0</v>
      </c>
    </row>
    <row r="25" spans="1:4" x14ac:dyDescent="0.25">
      <c r="A25" t="s">
        <v>336</v>
      </c>
      <c r="B25">
        <v>631.86773128350228</v>
      </c>
      <c r="C25">
        <v>3.2699999999999996</v>
      </c>
      <c r="D25">
        <v>0</v>
      </c>
    </row>
    <row r="26" spans="1:4" x14ac:dyDescent="0.25">
      <c r="A26" t="s">
        <v>337</v>
      </c>
      <c r="B26">
        <v>862.84865892678761</v>
      </c>
      <c r="C26">
        <v>3.63</v>
      </c>
      <c r="D26">
        <v>0</v>
      </c>
    </row>
    <row r="27" spans="1:4" x14ac:dyDescent="0.25">
      <c r="A27" t="s">
        <v>338</v>
      </c>
      <c r="B27">
        <v>511.1212166940096</v>
      </c>
      <c r="C27">
        <v>7.41</v>
      </c>
      <c r="D27">
        <v>0</v>
      </c>
    </row>
    <row r="28" spans="1:4" x14ac:dyDescent="0.25">
      <c r="A28" t="s">
        <v>339</v>
      </c>
      <c r="B28">
        <v>733.49765351874407</v>
      </c>
      <c r="C28">
        <v>7.7600000000000007</v>
      </c>
      <c r="D28">
        <v>0</v>
      </c>
    </row>
    <row r="29" spans="1:4" x14ac:dyDescent="0.25">
      <c r="A29" t="s">
        <v>340</v>
      </c>
      <c r="B29">
        <v>945.183049492029</v>
      </c>
      <c r="C29">
        <v>7.7600000000000007</v>
      </c>
      <c r="D29">
        <v>0</v>
      </c>
    </row>
    <row r="30" spans="1:4" x14ac:dyDescent="0.25">
      <c r="A30" t="s">
        <v>341</v>
      </c>
      <c r="B30">
        <v>733.49765351874407</v>
      </c>
      <c r="C30">
        <v>5.879999999999999</v>
      </c>
      <c r="D30">
        <v>0</v>
      </c>
    </row>
    <row r="31" spans="1:4" x14ac:dyDescent="0.25">
      <c r="A31" t="s">
        <v>342</v>
      </c>
      <c r="B31">
        <v>945.183049492029</v>
      </c>
      <c r="C31">
        <v>5.8899999999999988</v>
      </c>
      <c r="D31">
        <v>0</v>
      </c>
    </row>
    <row r="32" spans="1:4" x14ac:dyDescent="0.25">
      <c r="A32" t="s">
        <v>343</v>
      </c>
      <c r="B32">
        <v>733.49765351874407</v>
      </c>
      <c r="C32">
        <v>3.6900000000000004</v>
      </c>
      <c r="D32">
        <v>0</v>
      </c>
    </row>
    <row r="33" spans="1:4" x14ac:dyDescent="0.25">
      <c r="A33" t="s">
        <v>344</v>
      </c>
      <c r="B33">
        <v>945.183049492029</v>
      </c>
      <c r="C33">
        <v>3.7</v>
      </c>
      <c r="D33">
        <v>0</v>
      </c>
    </row>
    <row r="34" spans="1:4" x14ac:dyDescent="0.25">
      <c r="A34" t="s">
        <v>345</v>
      </c>
      <c r="B34">
        <v>535.14944810144914</v>
      </c>
      <c r="C34">
        <v>7.53</v>
      </c>
      <c r="D34">
        <v>0</v>
      </c>
    </row>
    <row r="35" spans="1:4" x14ac:dyDescent="0.25">
      <c r="A35" t="s">
        <v>346</v>
      </c>
      <c r="B35">
        <v>687.8290365289854</v>
      </c>
      <c r="C35">
        <v>7.8800000000000008</v>
      </c>
      <c r="D35">
        <v>0</v>
      </c>
    </row>
    <row r="36" spans="1:4" x14ac:dyDescent="0.25">
      <c r="A36" t="s">
        <v>347</v>
      </c>
      <c r="B36">
        <v>845.60621674396123</v>
      </c>
      <c r="C36">
        <v>8.64</v>
      </c>
      <c r="D36">
        <v>0</v>
      </c>
    </row>
    <row r="37" spans="1:4" x14ac:dyDescent="0.25">
      <c r="A37" t="s">
        <v>348</v>
      </c>
      <c r="B37">
        <v>687.8290365289854</v>
      </c>
      <c r="C37">
        <v>5.9799999999999995</v>
      </c>
      <c r="D37">
        <v>0</v>
      </c>
    </row>
    <row r="38" spans="1:4" x14ac:dyDescent="0.25">
      <c r="A38" t="s">
        <v>349</v>
      </c>
      <c r="B38">
        <v>845.60621674396123</v>
      </c>
      <c r="C38">
        <v>6.61</v>
      </c>
      <c r="D38">
        <v>0</v>
      </c>
    </row>
    <row r="39" spans="1:4" x14ac:dyDescent="0.25">
      <c r="A39" t="s">
        <v>350</v>
      </c>
      <c r="B39">
        <v>572.74199918357499</v>
      </c>
      <c r="C39">
        <v>8.1</v>
      </c>
      <c r="D39">
        <v>0</v>
      </c>
    </row>
    <row r="40" spans="1:4" x14ac:dyDescent="0.25">
      <c r="A40" t="s">
        <v>351</v>
      </c>
      <c r="B40">
        <v>729.79637493115956</v>
      </c>
      <c r="C40">
        <v>8.42</v>
      </c>
      <c r="D40">
        <v>0</v>
      </c>
    </row>
    <row r="41" spans="1:4" x14ac:dyDescent="0.25">
      <c r="A41" t="s">
        <v>352</v>
      </c>
      <c r="B41">
        <v>879.46026118599048</v>
      </c>
      <c r="C41">
        <v>8.91</v>
      </c>
      <c r="D41">
        <v>0</v>
      </c>
    </row>
    <row r="42" spans="1:4" x14ac:dyDescent="0.25">
      <c r="A42" t="s">
        <v>353</v>
      </c>
      <c r="B42">
        <v>659.66435865942026</v>
      </c>
      <c r="C42">
        <v>6.47</v>
      </c>
      <c r="D42">
        <v>0</v>
      </c>
    </row>
    <row r="43" spans="1:4" x14ac:dyDescent="0.25">
      <c r="A43" t="s">
        <v>354</v>
      </c>
      <c r="B43">
        <v>879.46026118599048</v>
      </c>
      <c r="C43">
        <v>6.8999999999999995</v>
      </c>
      <c r="D43">
        <v>0</v>
      </c>
    </row>
    <row r="44" spans="1:4" x14ac:dyDescent="0.25">
      <c r="A44" t="s">
        <v>355</v>
      </c>
      <c r="B44">
        <v>659.66435865942026</v>
      </c>
      <c r="C44">
        <v>4.0600000000000005</v>
      </c>
      <c r="D44">
        <v>0</v>
      </c>
    </row>
    <row r="45" spans="1:4" x14ac:dyDescent="0.25">
      <c r="A45" t="s">
        <v>356</v>
      </c>
      <c r="B45">
        <v>879.46026118599048</v>
      </c>
      <c r="C45">
        <v>4.32</v>
      </c>
      <c r="D45">
        <v>0</v>
      </c>
    </row>
    <row r="46" spans="1:4" x14ac:dyDescent="0.25">
      <c r="A46" t="s">
        <v>395</v>
      </c>
      <c r="B46">
        <v>827.94641083937211</v>
      </c>
      <c r="C46">
        <v>9.0399999999999991</v>
      </c>
      <c r="D46">
        <v>0</v>
      </c>
    </row>
    <row r="47" spans="1:4" x14ac:dyDescent="0.25">
      <c r="A47" t="s">
        <v>396</v>
      </c>
      <c r="B47">
        <v>827.94641083937211</v>
      </c>
      <c r="C47">
        <v>6.870000000000001</v>
      </c>
      <c r="D47">
        <v>0</v>
      </c>
    </row>
    <row r="48" spans="1:4" x14ac:dyDescent="0.25">
      <c r="A48" t="s">
        <v>395</v>
      </c>
      <c r="B48">
        <v>2051.6789108393723</v>
      </c>
      <c r="C48">
        <v>9.0399999999999991</v>
      </c>
      <c r="D48">
        <v>0</v>
      </c>
    </row>
    <row r="49" spans="1:4" x14ac:dyDescent="0.25">
      <c r="A49" t="s">
        <v>396</v>
      </c>
      <c r="B49">
        <v>2051.6789108393723</v>
      </c>
      <c r="C49">
        <v>6.870000000000001</v>
      </c>
      <c r="D49">
        <v>0</v>
      </c>
    </row>
    <row r="50" spans="1:4" x14ac:dyDescent="0.25">
      <c r="A50" t="s">
        <v>357</v>
      </c>
      <c r="B50">
        <v>576.41788238768117</v>
      </c>
      <c r="C50">
        <v>7.2200000000000006</v>
      </c>
      <c r="D50">
        <v>0</v>
      </c>
    </row>
    <row r="51" spans="1:4" x14ac:dyDescent="0.25">
      <c r="A51" t="s">
        <v>358</v>
      </c>
      <c r="B51">
        <v>850.36015390096622</v>
      </c>
      <c r="C51">
        <v>7.66</v>
      </c>
      <c r="D51">
        <v>0</v>
      </c>
    </row>
    <row r="52" spans="1:4" x14ac:dyDescent="0.25">
      <c r="A52" t="s">
        <v>359</v>
      </c>
      <c r="B52">
        <v>627.93454905434783</v>
      </c>
      <c r="C52">
        <v>5.38</v>
      </c>
      <c r="D52">
        <v>0</v>
      </c>
    </row>
    <row r="53" spans="1:4" x14ac:dyDescent="0.25">
      <c r="A53" t="s">
        <v>360</v>
      </c>
      <c r="B53">
        <v>920.61015390096622</v>
      </c>
      <c r="C53">
        <v>5.85</v>
      </c>
      <c r="D53">
        <v>0</v>
      </c>
    </row>
    <row r="54" spans="1:4" x14ac:dyDescent="0.25">
      <c r="A54" t="s">
        <v>361</v>
      </c>
      <c r="B54">
        <v>627.93454905434783</v>
      </c>
      <c r="C54">
        <v>3.4</v>
      </c>
      <c r="D54">
        <v>0</v>
      </c>
    </row>
    <row r="55" spans="1:4" x14ac:dyDescent="0.25">
      <c r="A55" t="s">
        <v>362</v>
      </c>
      <c r="B55">
        <v>920.61015390096622</v>
      </c>
      <c r="C55">
        <v>3.3800000000000003</v>
      </c>
      <c r="D55">
        <v>0</v>
      </c>
    </row>
    <row r="56" spans="1:4" x14ac:dyDescent="0.25">
      <c r="A56" t="s">
        <v>363</v>
      </c>
      <c r="B56">
        <v>338.31775565821255</v>
      </c>
      <c r="C56">
        <v>6.93</v>
      </c>
      <c r="D56">
        <v>0</v>
      </c>
    </row>
    <row r="57" spans="1:4" x14ac:dyDescent="0.25">
      <c r="A57" t="s">
        <v>364</v>
      </c>
      <c r="B57">
        <v>525.02881370410614</v>
      </c>
      <c r="C57">
        <v>7.63</v>
      </c>
      <c r="D57">
        <v>0</v>
      </c>
    </row>
    <row r="58" spans="1:4" x14ac:dyDescent="0.25">
      <c r="A58" t="s">
        <v>365</v>
      </c>
      <c r="B58">
        <v>338.31775565821255</v>
      </c>
      <c r="C58">
        <v>5.120000000000001</v>
      </c>
      <c r="D58">
        <v>0</v>
      </c>
    </row>
    <row r="59" spans="1:4" x14ac:dyDescent="0.25">
      <c r="A59" t="s">
        <v>366</v>
      </c>
      <c r="B59">
        <v>525.02881370410614</v>
      </c>
      <c r="C59">
        <v>5.77</v>
      </c>
      <c r="D59">
        <v>0</v>
      </c>
    </row>
    <row r="60" spans="1:4" x14ac:dyDescent="0.25">
      <c r="A60" t="s">
        <v>367</v>
      </c>
      <c r="B60">
        <v>338.31775565821255</v>
      </c>
      <c r="C60">
        <v>3.2699999999999996</v>
      </c>
      <c r="D60">
        <v>0</v>
      </c>
    </row>
    <row r="61" spans="1:4" x14ac:dyDescent="0.25">
      <c r="A61" t="s">
        <v>368</v>
      </c>
      <c r="B61">
        <v>525.02881370410614</v>
      </c>
      <c r="C61">
        <v>3.63</v>
      </c>
      <c r="D61">
        <v>0</v>
      </c>
    </row>
    <row r="62" spans="1:4" x14ac:dyDescent="0.25">
      <c r="A62" t="s">
        <v>369</v>
      </c>
      <c r="B62">
        <v>513.96716533212566</v>
      </c>
      <c r="C62">
        <v>7.71</v>
      </c>
      <c r="D62">
        <v>0</v>
      </c>
    </row>
    <row r="63" spans="1:4" x14ac:dyDescent="0.25">
      <c r="A63" t="s">
        <v>370</v>
      </c>
      <c r="B63">
        <v>675.88221599033807</v>
      </c>
      <c r="C63">
        <v>8.17</v>
      </c>
      <c r="D63">
        <v>0</v>
      </c>
    </row>
    <row r="64" spans="1:4" x14ac:dyDescent="0.25">
      <c r="A64" t="s">
        <v>371</v>
      </c>
      <c r="B64">
        <v>513.96716533212566</v>
      </c>
      <c r="C64">
        <v>5.62</v>
      </c>
      <c r="D64">
        <v>0</v>
      </c>
    </row>
    <row r="65" spans="1:4" x14ac:dyDescent="0.25">
      <c r="A65" t="s">
        <v>372</v>
      </c>
      <c r="B65">
        <v>675.88221599033807</v>
      </c>
      <c r="C65">
        <v>6.0200000000000005</v>
      </c>
      <c r="D65">
        <v>0</v>
      </c>
    </row>
    <row r="66" spans="1:4" x14ac:dyDescent="0.25">
      <c r="A66" t="s">
        <v>373</v>
      </c>
      <c r="B66">
        <v>513.96716533212566</v>
      </c>
      <c r="C66">
        <v>3.5900000000000003</v>
      </c>
      <c r="D66">
        <v>0</v>
      </c>
    </row>
    <row r="67" spans="1:4" x14ac:dyDescent="0.25">
      <c r="A67" t="s">
        <v>374</v>
      </c>
      <c r="B67">
        <v>675.88221599033807</v>
      </c>
      <c r="C67">
        <v>3.84</v>
      </c>
      <c r="D67">
        <v>0</v>
      </c>
    </row>
    <row r="68" spans="1:4" x14ac:dyDescent="0.25">
      <c r="A68" t="s">
        <v>375</v>
      </c>
      <c r="B68">
        <v>416.3956494806763</v>
      </c>
      <c r="C68">
        <v>6.84</v>
      </c>
      <c r="D68">
        <v>0</v>
      </c>
    </row>
    <row r="69" spans="1:4" x14ac:dyDescent="0.25">
      <c r="A69" t="s">
        <v>376</v>
      </c>
      <c r="B69">
        <v>416.3956494806763</v>
      </c>
      <c r="C69">
        <v>5.03</v>
      </c>
      <c r="D69">
        <v>0</v>
      </c>
    </row>
    <row r="70" spans="1:4" x14ac:dyDescent="0.25">
      <c r="A70" t="s">
        <v>377</v>
      </c>
      <c r="B70">
        <v>416.3956494806763</v>
      </c>
      <c r="C70">
        <v>3.17</v>
      </c>
      <c r="D70">
        <v>0</v>
      </c>
    </row>
    <row r="71" spans="1:4" x14ac:dyDescent="0.25">
      <c r="A71" t="s">
        <v>378</v>
      </c>
      <c r="B71">
        <v>274.3638901413043</v>
      </c>
      <c r="C71">
        <v>6.84</v>
      </c>
      <c r="D71">
        <v>0</v>
      </c>
    </row>
    <row r="72" spans="1:4" x14ac:dyDescent="0.25">
      <c r="A72" t="s">
        <v>379</v>
      </c>
      <c r="B72">
        <v>274.3638901413043</v>
      </c>
      <c r="C72">
        <v>5.0299999999999994</v>
      </c>
      <c r="D72">
        <v>0</v>
      </c>
    </row>
    <row r="73" spans="1:4" x14ac:dyDescent="0.25">
      <c r="A73" t="s">
        <v>380</v>
      </c>
      <c r="B73">
        <v>274.3638901413043</v>
      </c>
      <c r="C73">
        <v>3.17</v>
      </c>
      <c r="D73">
        <v>0</v>
      </c>
    </row>
    <row r="74" spans="1:4" x14ac:dyDescent="0.25">
      <c r="A74" t="s">
        <v>381</v>
      </c>
      <c r="B74">
        <v>1251.4362234299517</v>
      </c>
      <c r="C74">
        <v>5.2299999999999995</v>
      </c>
      <c r="D74">
        <v>0</v>
      </c>
    </row>
    <row r="75" spans="1:4" x14ac:dyDescent="0.25">
      <c r="A75" t="s">
        <v>382</v>
      </c>
      <c r="B75">
        <v>1615.4729727053141</v>
      </c>
      <c r="C75">
        <v>5.45</v>
      </c>
      <c r="D75">
        <v>0</v>
      </c>
    </row>
    <row r="76" spans="1:4" x14ac:dyDescent="0.25">
      <c r="A76" t="s">
        <v>383</v>
      </c>
      <c r="B76">
        <v>1247.1963250301933</v>
      </c>
      <c r="C76">
        <v>3.82</v>
      </c>
      <c r="D76">
        <v>0</v>
      </c>
    </row>
    <row r="77" spans="1:4" x14ac:dyDescent="0.25">
      <c r="A77" t="s">
        <v>384</v>
      </c>
      <c r="B77">
        <v>1615.4729727053141</v>
      </c>
      <c r="C77">
        <v>4</v>
      </c>
      <c r="D77">
        <v>0</v>
      </c>
    </row>
    <row r="78" spans="1:4" x14ac:dyDescent="0.25">
      <c r="A78" t="s">
        <v>385</v>
      </c>
      <c r="B78">
        <v>1247.1963250301933</v>
      </c>
      <c r="C78">
        <v>2.39</v>
      </c>
      <c r="D78">
        <v>0</v>
      </c>
    </row>
    <row r="79" spans="1:4" x14ac:dyDescent="0.25">
      <c r="A79" t="s">
        <v>386</v>
      </c>
      <c r="B79">
        <v>1615.4729727053141</v>
      </c>
      <c r="C79">
        <v>2.4900000000000002</v>
      </c>
      <c r="D79">
        <v>0</v>
      </c>
    </row>
    <row r="80" spans="1:4" x14ac:dyDescent="0.25">
      <c r="A80" t="s">
        <v>397</v>
      </c>
      <c r="B80">
        <v>21249.887066358697</v>
      </c>
      <c r="C80">
        <v>61.7</v>
      </c>
      <c r="D80">
        <v>0</v>
      </c>
    </row>
    <row r="81" spans="1:4" x14ac:dyDescent="0.25">
      <c r="A81" t="s">
        <v>398</v>
      </c>
      <c r="B81">
        <v>7802.3515623792273</v>
      </c>
      <c r="C81">
        <v>30.599999999999998</v>
      </c>
      <c r="D81">
        <v>0</v>
      </c>
    </row>
    <row r="82" spans="1:4" x14ac:dyDescent="0.25">
      <c r="A82" t="s">
        <v>401</v>
      </c>
      <c r="B82">
        <v>7450.5363672318836</v>
      </c>
      <c r="C82">
        <v>43.71</v>
      </c>
      <c r="D82">
        <v>0</v>
      </c>
    </row>
    <row r="83" spans="1:4" x14ac:dyDescent="0.25">
      <c r="A83" t="s">
        <v>402</v>
      </c>
      <c r="B83">
        <v>9698.0817744782598</v>
      </c>
      <c r="C83">
        <v>47.51</v>
      </c>
      <c r="D83">
        <v>0</v>
      </c>
    </row>
    <row r="84" spans="1:4" x14ac:dyDescent="0.25">
      <c r="A84" t="s">
        <v>400</v>
      </c>
      <c r="B84">
        <v>2622.3516105160834</v>
      </c>
      <c r="C84">
        <v>31.7</v>
      </c>
      <c r="D84">
        <v>0</v>
      </c>
    </row>
    <row r="85" spans="1:4" x14ac:dyDescent="0.25">
      <c r="A85" t="s">
        <v>399</v>
      </c>
      <c r="B85">
        <v>2622.3516105160834</v>
      </c>
      <c r="C85">
        <v>28.3</v>
      </c>
      <c r="D85">
        <v>0</v>
      </c>
    </row>
    <row r="86" spans="1:4" x14ac:dyDescent="0.25">
      <c r="A86" t="s">
        <v>387</v>
      </c>
      <c r="B86">
        <v>513.08644885110414</v>
      </c>
      <c r="C86">
        <v>8.5500000000000007</v>
      </c>
      <c r="D86">
        <v>0</v>
      </c>
    </row>
    <row r="87" spans="1:4" x14ac:dyDescent="0.25">
      <c r="A87" t="s">
        <v>388</v>
      </c>
      <c r="B87">
        <v>768.65387860697024</v>
      </c>
      <c r="C87">
        <v>9.0399999999999991</v>
      </c>
      <c r="D87">
        <v>0</v>
      </c>
    </row>
    <row r="88" spans="1:4" x14ac:dyDescent="0.25">
      <c r="A88" t="s">
        <v>389</v>
      </c>
      <c r="B88">
        <v>513.08644885110414</v>
      </c>
      <c r="C88">
        <v>6.51</v>
      </c>
      <c r="D88">
        <v>0</v>
      </c>
    </row>
    <row r="89" spans="1:4" x14ac:dyDescent="0.25">
      <c r="A89" t="s">
        <v>390</v>
      </c>
      <c r="B89">
        <v>768.65387860697024</v>
      </c>
      <c r="C89">
        <v>7.02</v>
      </c>
      <c r="D89">
        <v>0</v>
      </c>
    </row>
    <row r="90" spans="1:4" x14ac:dyDescent="0.25">
      <c r="A90" t="s">
        <v>391</v>
      </c>
      <c r="B90">
        <v>-624.61156702898541</v>
      </c>
      <c r="C90">
        <v>11.370000000000001</v>
      </c>
      <c r="D90">
        <v>6706.7</v>
      </c>
    </row>
    <row r="91" spans="1:4" x14ac:dyDescent="0.25">
      <c r="A91" t="s">
        <v>392</v>
      </c>
      <c r="B91">
        <v>-688.60522074275354</v>
      </c>
      <c r="C91">
        <v>12.030000000000001</v>
      </c>
      <c r="D91">
        <v>8088.08</v>
      </c>
    </row>
    <row r="92" spans="1:4" x14ac:dyDescent="0.25">
      <c r="A92" t="s">
        <v>393</v>
      </c>
      <c r="B92">
        <v>-751.58909888285018</v>
      </c>
      <c r="C92">
        <v>12.3</v>
      </c>
      <c r="D92">
        <v>9489.48</v>
      </c>
    </row>
    <row r="93" spans="1:4" x14ac:dyDescent="0.25">
      <c r="A93" t="s">
        <v>403</v>
      </c>
      <c r="B93">
        <v>1003.3577993055555</v>
      </c>
      <c r="C93">
        <v>12.030000000000001</v>
      </c>
      <c r="D93">
        <v>0</v>
      </c>
    </row>
    <row r="94" spans="1:4" x14ac:dyDescent="0.25">
      <c r="A94" t="s">
        <v>404</v>
      </c>
      <c r="B94">
        <v>1449.7524711352658</v>
      </c>
      <c r="C94">
        <v>12.3</v>
      </c>
      <c r="D94">
        <v>0</v>
      </c>
    </row>
    <row r="95" spans="1:4" x14ac:dyDescent="0.25">
      <c r="A95" t="s">
        <v>405</v>
      </c>
      <c r="B95">
        <v>-69.013924094202821</v>
      </c>
      <c r="C95">
        <v>9.3099999999999987</v>
      </c>
      <c r="D95">
        <v>0</v>
      </c>
    </row>
    <row r="96" spans="1:4" x14ac:dyDescent="0.25">
      <c r="A96" t="s">
        <v>406</v>
      </c>
      <c r="B96">
        <v>-65.338456582125559</v>
      </c>
      <c r="C96">
        <v>10.42</v>
      </c>
      <c r="D96">
        <v>0</v>
      </c>
    </row>
    <row r="97" spans="1:4" x14ac:dyDescent="0.25">
      <c r="A97" t="s">
        <v>316</v>
      </c>
      <c r="B97">
        <v>-456</v>
      </c>
      <c r="C97">
        <v>10.6</v>
      </c>
      <c r="D97">
        <v>0</v>
      </c>
    </row>
    <row r="98" spans="1:4" x14ac:dyDescent="0.25">
      <c r="A98" t="s">
        <v>407</v>
      </c>
      <c r="B98">
        <v>-514.19895525362313</v>
      </c>
      <c r="C98">
        <v>10.700000000000001</v>
      </c>
      <c r="D98">
        <v>3115.2</v>
      </c>
    </row>
    <row r="99" spans="1:4" x14ac:dyDescent="0.25">
      <c r="A99" t="s">
        <v>408</v>
      </c>
      <c r="B99">
        <v>-626.78730778985505</v>
      </c>
      <c r="C99">
        <v>17.98</v>
      </c>
      <c r="D99">
        <v>5038.6000000000004</v>
      </c>
    </row>
    <row r="100" spans="1:4" x14ac:dyDescent="0.25">
      <c r="A100" t="s">
        <v>409</v>
      </c>
      <c r="B100">
        <v>-178.01165522342993</v>
      </c>
      <c r="C100">
        <v>13.52</v>
      </c>
      <c r="D100">
        <v>2788.8</v>
      </c>
    </row>
    <row r="101" spans="1:4" x14ac:dyDescent="0.25">
      <c r="A101" t="s">
        <v>410</v>
      </c>
      <c r="B101">
        <v>-435.47843143115944</v>
      </c>
      <c r="C101">
        <v>20.369999999999997</v>
      </c>
      <c r="D101">
        <v>4513.6000000000004</v>
      </c>
    </row>
    <row r="102" spans="1:4" x14ac:dyDescent="0.25">
      <c r="A102" t="s">
        <v>411</v>
      </c>
      <c r="B102">
        <v>-85.197327264492742</v>
      </c>
      <c r="C102">
        <v>6.5</v>
      </c>
      <c r="D102">
        <v>1357.2</v>
      </c>
    </row>
    <row r="103" spans="1:4" x14ac:dyDescent="0.25">
      <c r="A103" t="s">
        <v>412</v>
      </c>
      <c r="B103">
        <v>-356.78318798309175</v>
      </c>
      <c r="C103">
        <v>9.6</v>
      </c>
      <c r="D103">
        <v>5252</v>
      </c>
    </row>
    <row r="104" spans="1:4" x14ac:dyDescent="0.25">
      <c r="A104" t="s">
        <v>413</v>
      </c>
      <c r="B104">
        <v>-435.09991349637676</v>
      </c>
      <c r="C104">
        <v>21.409999999999997</v>
      </c>
      <c r="D104">
        <v>4902</v>
      </c>
    </row>
    <row r="105" spans="1:4" x14ac:dyDescent="0.25">
      <c r="A105" t="s">
        <v>414</v>
      </c>
      <c r="B105">
        <v>-506.78933982487922</v>
      </c>
      <c r="C105">
        <v>21.409999999999997</v>
      </c>
      <c r="D105">
        <v>4902</v>
      </c>
    </row>
    <row r="106" spans="1:4" x14ac:dyDescent="0.25">
      <c r="A106" t="s">
        <v>415</v>
      </c>
      <c r="B106">
        <v>-254.67374888285022</v>
      </c>
      <c r="C106">
        <v>15.11</v>
      </c>
      <c r="D106">
        <v>2066.4</v>
      </c>
    </row>
    <row r="107" spans="1:4" x14ac:dyDescent="0.25">
      <c r="A107" t="s">
        <v>421</v>
      </c>
      <c r="B107">
        <v>-449.93075362318837</v>
      </c>
      <c r="C107">
        <v>2.0300000000000002</v>
      </c>
      <c r="D107">
        <v>4688</v>
      </c>
    </row>
    <row r="108" spans="1:4" x14ac:dyDescent="0.25">
      <c r="A108" t="s">
        <v>422</v>
      </c>
      <c r="B108">
        <v>-564.73871497584537</v>
      </c>
      <c r="C108">
        <v>2.5300000000000002</v>
      </c>
      <c r="D108">
        <v>6563</v>
      </c>
    </row>
    <row r="109" spans="1:4" x14ac:dyDescent="0.25">
      <c r="A109" t="s">
        <v>416</v>
      </c>
      <c r="B109">
        <v>-90.444897342995176</v>
      </c>
      <c r="C109">
        <v>2.5300000000000002</v>
      </c>
      <c r="D109">
        <v>0</v>
      </c>
    </row>
    <row r="110" spans="1:4" x14ac:dyDescent="0.25">
      <c r="A110" t="s">
        <v>417</v>
      </c>
      <c r="B110">
        <v>-72.105917874396141</v>
      </c>
      <c r="C110">
        <v>2.0300000000000002</v>
      </c>
      <c r="D110">
        <v>0</v>
      </c>
    </row>
    <row r="111" spans="1:4" x14ac:dyDescent="0.25">
      <c r="A111" t="s">
        <v>418</v>
      </c>
      <c r="B111">
        <v>-92.533876811594212</v>
      </c>
      <c r="C111">
        <v>2.0300000000000002</v>
      </c>
      <c r="D111">
        <v>0</v>
      </c>
    </row>
    <row r="112" spans="1:4" x14ac:dyDescent="0.25">
      <c r="A112" t="s">
        <v>419</v>
      </c>
      <c r="B112">
        <v>-109.30591787439614</v>
      </c>
      <c r="C112">
        <v>21.409999999999997</v>
      </c>
      <c r="D112">
        <v>0</v>
      </c>
    </row>
    <row r="113" spans="1:4" x14ac:dyDescent="0.25">
      <c r="A113" t="s">
        <v>420</v>
      </c>
      <c r="B113">
        <v>-193.15</v>
      </c>
      <c r="C113">
        <v>21.409999999999997</v>
      </c>
      <c r="D113">
        <v>0</v>
      </c>
    </row>
    <row r="115" spans="1:4" x14ac:dyDescent="0.25">
      <c r="A115" t="s">
        <v>423</v>
      </c>
      <c r="B115">
        <v>0</v>
      </c>
      <c r="C115">
        <v>0</v>
      </c>
      <c r="D115">
        <v>0</v>
      </c>
    </row>
    <row r="116" spans="1:4" x14ac:dyDescent="0.25">
      <c r="A116" t="s">
        <v>426</v>
      </c>
      <c r="B116">
        <v>1164.6898714051808</v>
      </c>
      <c r="C116">
        <v>43</v>
      </c>
      <c r="D116">
        <v>2266.6</v>
      </c>
    </row>
    <row r="117" spans="1:4" x14ac:dyDescent="0.25">
      <c r="A117" t="s">
        <v>427</v>
      </c>
      <c r="B117">
        <v>1201.9893746808525</v>
      </c>
      <c r="C117">
        <v>43</v>
      </c>
      <c r="D117">
        <v>2430.6</v>
      </c>
    </row>
    <row r="118" spans="1:4" x14ac:dyDescent="0.25">
      <c r="A118" t="s">
        <v>428</v>
      </c>
      <c r="B118">
        <v>1372.0140373602785</v>
      </c>
      <c r="C118">
        <v>44</v>
      </c>
      <c r="D118">
        <v>2430.6000000000004</v>
      </c>
    </row>
    <row r="119" spans="1:4" x14ac:dyDescent="0.25">
      <c r="A119" t="s">
        <v>429</v>
      </c>
      <c r="B119">
        <v>1409.3135406359497</v>
      </c>
      <c r="C119">
        <v>43</v>
      </c>
      <c r="D119">
        <v>2594.6000000000004</v>
      </c>
    </row>
    <row r="120" spans="1:4" x14ac:dyDescent="0.25">
      <c r="A120" t="s">
        <v>430</v>
      </c>
      <c r="B120">
        <v>1569.1882033153756</v>
      </c>
      <c r="C120">
        <v>43</v>
      </c>
      <c r="D120">
        <v>2594.6000000000004</v>
      </c>
    </row>
    <row r="121" spans="1:4" x14ac:dyDescent="0.25">
      <c r="A121" t="s">
        <v>431</v>
      </c>
      <c r="B121">
        <v>1606.4877065910473</v>
      </c>
      <c r="C121">
        <v>43</v>
      </c>
      <c r="D121">
        <v>2758.6000000000004</v>
      </c>
    </row>
    <row r="122" spans="1:4" x14ac:dyDescent="0.25">
      <c r="A122" t="s">
        <v>433</v>
      </c>
      <c r="B122">
        <v>1137.0531214051807</v>
      </c>
      <c r="C122">
        <v>25.009999999999994</v>
      </c>
      <c r="D122">
        <v>2266.6</v>
      </c>
    </row>
    <row r="123" spans="1:4" x14ac:dyDescent="0.25">
      <c r="A123" t="s">
        <v>432</v>
      </c>
      <c r="B123">
        <v>1174.3526246808528</v>
      </c>
      <c r="C123">
        <v>25.009999999999994</v>
      </c>
      <c r="D123">
        <v>2430.6</v>
      </c>
    </row>
    <row r="124" spans="1:4" x14ac:dyDescent="0.25">
      <c r="A124" t="s">
        <v>434</v>
      </c>
      <c r="B124">
        <v>1344.3772873602784</v>
      </c>
      <c r="C124">
        <v>25.009999999999994</v>
      </c>
      <c r="D124">
        <v>2430.6000000000004</v>
      </c>
    </row>
    <row r="125" spans="1:4" x14ac:dyDescent="0.25">
      <c r="A125" t="s">
        <v>435</v>
      </c>
      <c r="B125">
        <v>1376.6017906359498</v>
      </c>
      <c r="C125">
        <v>25.009999999999994</v>
      </c>
      <c r="D125">
        <v>2594.6000000000004</v>
      </c>
    </row>
    <row r="126" spans="1:4" x14ac:dyDescent="0.25">
      <c r="A126" t="s">
        <v>436</v>
      </c>
      <c r="B126">
        <v>1541.5514533153755</v>
      </c>
      <c r="C126">
        <v>25.009999999999994</v>
      </c>
      <c r="D126">
        <v>2594.6000000000004</v>
      </c>
    </row>
    <row r="127" spans="1:4" x14ac:dyDescent="0.25">
      <c r="A127" t="s">
        <v>437</v>
      </c>
      <c r="B127">
        <v>1578.8509565910472</v>
      </c>
      <c r="C127">
        <v>25.009999999999994</v>
      </c>
      <c r="D127">
        <v>2758.6000000000004</v>
      </c>
    </row>
    <row r="128" spans="1:4" x14ac:dyDescent="0.25">
      <c r="A128" t="s">
        <v>466</v>
      </c>
      <c r="B128">
        <v>412.34793906528398</v>
      </c>
      <c r="C128">
        <v>9.8249999999999993</v>
      </c>
      <c r="D128">
        <v>2808</v>
      </c>
    </row>
    <row r="129" spans="1:4" x14ac:dyDescent="0.25">
      <c r="A129" t="s">
        <v>467</v>
      </c>
      <c r="B129">
        <v>521.41793906528426</v>
      </c>
      <c r="C129">
        <v>9.8249999999999993</v>
      </c>
      <c r="D129">
        <v>2808</v>
      </c>
    </row>
    <row r="130" spans="1:4" x14ac:dyDescent="0.25">
      <c r="A130" t="s">
        <v>468</v>
      </c>
      <c r="B130">
        <v>412.34793906528398</v>
      </c>
      <c r="C130">
        <v>8.3916666666666657</v>
      </c>
      <c r="D130">
        <v>2808</v>
      </c>
    </row>
    <row r="131" spans="1:4" x14ac:dyDescent="0.25">
      <c r="A131" t="s">
        <v>469</v>
      </c>
      <c r="B131">
        <v>521.41793906528426</v>
      </c>
      <c r="C131">
        <v>8.3916666666666657</v>
      </c>
      <c r="D131">
        <v>2808</v>
      </c>
    </row>
    <row r="132" spans="1:4" x14ac:dyDescent="0.25">
      <c r="A132" t="s">
        <v>470</v>
      </c>
      <c r="B132">
        <v>378.14763863476514</v>
      </c>
      <c r="C132">
        <v>9.3833333333333329</v>
      </c>
      <c r="D132">
        <v>2261.4</v>
      </c>
    </row>
    <row r="133" spans="1:4" x14ac:dyDescent="0.25">
      <c r="A133" t="s">
        <v>471</v>
      </c>
      <c r="B133">
        <v>491.0142977420029</v>
      </c>
      <c r="C133">
        <v>9.3833333333333329</v>
      </c>
      <c r="D133">
        <v>2261.4</v>
      </c>
    </row>
    <row r="134" spans="1:4" x14ac:dyDescent="0.25">
      <c r="A134" t="s">
        <v>36</v>
      </c>
      <c r="B134">
        <v>172.0170239337474</v>
      </c>
      <c r="C134">
        <v>24.083333333333336</v>
      </c>
      <c r="D134">
        <v>4800</v>
      </c>
    </row>
    <row r="135" spans="1:4" x14ac:dyDescent="0.25">
      <c r="A135" t="s">
        <v>438</v>
      </c>
      <c r="B135">
        <v>372.79862229807304</v>
      </c>
      <c r="C135">
        <v>21.024999999999999</v>
      </c>
      <c r="D135">
        <v>3870</v>
      </c>
    </row>
    <row r="136" spans="1:4" x14ac:dyDescent="0.25">
      <c r="A136" t="s">
        <v>439</v>
      </c>
      <c r="B136">
        <v>411.63443923282375</v>
      </c>
      <c r="C136">
        <v>26.441666666666663</v>
      </c>
      <c r="D136">
        <v>2170</v>
      </c>
    </row>
    <row r="137" spans="1:4" x14ac:dyDescent="0.25">
      <c r="A137" t="s">
        <v>440</v>
      </c>
      <c r="B137">
        <v>520.50083102454403</v>
      </c>
      <c r="C137">
        <v>26.441666666666663</v>
      </c>
      <c r="D137">
        <v>1981</v>
      </c>
    </row>
    <row r="138" spans="1:4" x14ac:dyDescent="0.25">
      <c r="A138" t="s">
        <v>441</v>
      </c>
      <c r="B138">
        <v>521.17467501954411</v>
      </c>
      <c r="C138">
        <v>22.208333333333336</v>
      </c>
      <c r="D138">
        <v>3669.9</v>
      </c>
    </row>
    <row r="139" spans="1:4" x14ac:dyDescent="0.25">
      <c r="A139" t="s">
        <v>443</v>
      </c>
      <c r="B139">
        <v>28.442379112551095</v>
      </c>
      <c r="C139">
        <v>7.32</v>
      </c>
      <c r="D139">
        <v>544</v>
      </c>
    </row>
    <row r="140" spans="1:4" x14ac:dyDescent="0.25">
      <c r="A140" t="s">
        <v>442</v>
      </c>
      <c r="B140">
        <v>51.422360997166521</v>
      </c>
      <c r="C140">
        <v>8.0500000000000007</v>
      </c>
      <c r="D140">
        <v>560</v>
      </c>
    </row>
    <row r="141" spans="1:4" x14ac:dyDescent="0.25">
      <c r="A141" t="s">
        <v>444</v>
      </c>
      <c r="B141">
        <v>80.167467202294688</v>
      </c>
      <c r="C141">
        <v>6.56</v>
      </c>
      <c r="D141">
        <v>427</v>
      </c>
    </row>
    <row r="142" spans="1:4" x14ac:dyDescent="0.25">
      <c r="A142" t="s">
        <v>445</v>
      </c>
      <c r="B142">
        <v>2815.7182205314011</v>
      </c>
      <c r="C142">
        <v>92</v>
      </c>
      <c r="D142">
        <v>0</v>
      </c>
    </row>
    <row r="143" spans="1:4" x14ac:dyDescent="0.25">
      <c r="A143" t="s">
        <v>446</v>
      </c>
      <c r="B143">
        <v>2693.8152205314009</v>
      </c>
      <c r="C143">
        <v>62</v>
      </c>
      <c r="D143">
        <v>0</v>
      </c>
    </row>
    <row r="144" spans="1:4" x14ac:dyDescent="0.25">
      <c r="A144" t="s">
        <v>447</v>
      </c>
      <c r="B144">
        <v>2678.8152205314009</v>
      </c>
      <c r="C144">
        <v>55</v>
      </c>
      <c r="D144">
        <v>0</v>
      </c>
    </row>
    <row r="145" spans="1:4" x14ac:dyDescent="0.25">
      <c r="A145" t="s">
        <v>448</v>
      </c>
      <c r="B145">
        <v>234.1072373761931</v>
      </c>
      <c r="C145">
        <v>14.683333333333335</v>
      </c>
      <c r="D145">
        <v>15396.636000000002</v>
      </c>
    </row>
    <row r="146" spans="1:4" x14ac:dyDescent="0.25">
      <c r="A146" t="s">
        <v>449</v>
      </c>
      <c r="B146">
        <v>359.80634877619309</v>
      </c>
      <c r="C146">
        <v>15.291666666666666</v>
      </c>
      <c r="D146">
        <v>16343.036000000002</v>
      </c>
    </row>
    <row r="147" spans="1:4" x14ac:dyDescent="0.25">
      <c r="A147" t="s">
        <v>450</v>
      </c>
      <c r="B147">
        <v>485.50546017619286</v>
      </c>
      <c r="C147">
        <v>15.9</v>
      </c>
      <c r="D147">
        <v>17289.436000000002</v>
      </c>
    </row>
    <row r="148" spans="1:4" x14ac:dyDescent="0.25">
      <c r="A148" t="s">
        <v>451</v>
      </c>
      <c r="B148">
        <v>234.1072373761931</v>
      </c>
      <c r="C148">
        <v>14.683333333333335</v>
      </c>
      <c r="D148">
        <v>15396.636000000002</v>
      </c>
    </row>
    <row r="149" spans="1:4" x14ac:dyDescent="0.25">
      <c r="A149" t="s">
        <v>452</v>
      </c>
      <c r="B149">
        <v>359.80634877619309</v>
      </c>
      <c r="C149">
        <v>15.291666666666666</v>
      </c>
      <c r="D149">
        <v>16343.036000000002</v>
      </c>
    </row>
    <row r="150" spans="1:4" x14ac:dyDescent="0.25">
      <c r="A150" t="s">
        <v>453</v>
      </c>
      <c r="B150">
        <v>485.50546017619286</v>
      </c>
      <c r="C150">
        <v>15.9</v>
      </c>
      <c r="D150">
        <v>17289.436000000002</v>
      </c>
    </row>
    <row r="151" spans="1:4" x14ac:dyDescent="0.25">
      <c r="A151" t="s">
        <v>454</v>
      </c>
      <c r="B151">
        <v>86.489940948536173</v>
      </c>
      <c r="C151">
        <v>13.602</v>
      </c>
      <c r="D151">
        <v>15396.636000000002</v>
      </c>
    </row>
    <row r="152" spans="1:4" x14ac:dyDescent="0.25">
      <c r="A152" t="s">
        <v>455</v>
      </c>
      <c r="B152">
        <v>181.30150014853609</v>
      </c>
      <c r="C152">
        <v>14.194000000000001</v>
      </c>
      <c r="D152">
        <v>16343.036000000002</v>
      </c>
    </row>
    <row r="153" spans="1:4" x14ac:dyDescent="0.25">
      <c r="A153" t="s">
        <v>456</v>
      </c>
      <c r="B153">
        <v>276.1130593485359</v>
      </c>
      <c r="C153">
        <v>14.786000000000001</v>
      </c>
      <c r="D153">
        <v>17289.436000000002</v>
      </c>
    </row>
    <row r="154" spans="1:4" x14ac:dyDescent="0.25">
      <c r="A154" t="s">
        <v>457</v>
      </c>
      <c r="B154">
        <v>6.1246135319188681</v>
      </c>
      <c r="C154">
        <v>0.97113174603174635</v>
      </c>
      <c r="D154">
        <v>13</v>
      </c>
    </row>
    <row r="155" spans="1:4" x14ac:dyDescent="0.25">
      <c r="A155" t="s">
        <v>458</v>
      </c>
      <c r="B155">
        <v>8.130529359827591</v>
      </c>
      <c r="C155">
        <v>1</v>
      </c>
      <c r="D155">
        <v>0</v>
      </c>
    </row>
    <row r="156" spans="1:4" x14ac:dyDescent="0.25">
      <c r="A156" t="s">
        <v>459</v>
      </c>
      <c r="B156">
        <v>13.577349677407398</v>
      </c>
      <c r="C156">
        <v>1</v>
      </c>
      <c r="D156">
        <v>0</v>
      </c>
    </row>
    <row r="157" spans="1:4" x14ac:dyDescent="0.25">
      <c r="A157" t="s">
        <v>460</v>
      </c>
      <c r="B157">
        <v>19.970380732499216</v>
      </c>
      <c r="C157">
        <v>0.2248</v>
      </c>
      <c r="D157">
        <v>0</v>
      </c>
    </row>
    <row r="158" spans="1:4" x14ac:dyDescent="0.25">
      <c r="A158" t="s">
        <v>461</v>
      </c>
      <c r="B158">
        <v>32.32478587409922</v>
      </c>
      <c r="C158">
        <v>0.10249999999999999</v>
      </c>
      <c r="D158">
        <v>0</v>
      </c>
    </row>
    <row r="159" spans="1:4" x14ac:dyDescent="0.25">
      <c r="A159" t="s">
        <v>462</v>
      </c>
      <c r="B159">
        <v>27.267237250099221</v>
      </c>
      <c r="C159">
        <v>0.25</v>
      </c>
      <c r="D159">
        <v>0</v>
      </c>
    </row>
    <row r="160" spans="1:4" x14ac:dyDescent="0.25">
      <c r="A160" t="s">
        <v>463</v>
      </c>
      <c r="B160">
        <v>39.178470732499221</v>
      </c>
      <c r="C160">
        <v>0.2248</v>
      </c>
      <c r="D160">
        <v>0</v>
      </c>
    </row>
    <row r="161" spans="1:4" x14ac:dyDescent="0.25">
      <c r="A161" t="s">
        <v>464</v>
      </c>
      <c r="B161">
        <v>51.578927250099227</v>
      </c>
      <c r="C161">
        <v>0.25205</v>
      </c>
      <c r="D161">
        <v>0</v>
      </c>
    </row>
    <row r="162" spans="1:4" x14ac:dyDescent="0.25">
      <c r="A162" t="s">
        <v>465</v>
      </c>
      <c r="B162">
        <v>0.5990621446044897</v>
      </c>
      <c r="C162">
        <v>2.9739204545454548E-2</v>
      </c>
      <c r="D162">
        <v>0</v>
      </c>
    </row>
  </sheetData>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9"/>
  <dimension ref="AD1:BG139"/>
  <sheetViews>
    <sheetView topLeftCell="T1" workbookViewId="0">
      <selection activeCell="AD1" sqref="AD1:BI1048576"/>
    </sheetView>
  </sheetViews>
  <sheetFormatPr baseColWidth="10" defaultRowHeight="13.8" x14ac:dyDescent="0.25"/>
  <cols>
    <col min="1" max="29" width="11.19921875" customWidth="1"/>
    <col min="30" max="30" width="11.19921875" hidden="1" customWidth="1"/>
    <col min="31" max="31" width="20" hidden="1" customWidth="1"/>
    <col min="32" max="59" width="11.19921875" hidden="1" customWidth="1"/>
    <col min="60" max="61" width="0" hidden="1" customWidth="1"/>
  </cols>
  <sheetData>
    <row r="1" spans="31:56" x14ac:dyDescent="0.25">
      <c r="AE1" s="1" t="s">
        <v>536</v>
      </c>
      <c r="AR1" t="s">
        <v>95</v>
      </c>
    </row>
    <row r="2" spans="31:56" x14ac:dyDescent="0.25">
      <c r="AE2" t="s">
        <v>39</v>
      </c>
      <c r="AF2">
        <v>2023</v>
      </c>
      <c r="AG2">
        <v>2024</v>
      </c>
      <c r="AH2">
        <v>2025</v>
      </c>
      <c r="AI2">
        <v>2026</v>
      </c>
      <c r="AR2" t="s">
        <v>9</v>
      </c>
      <c r="AS2" t="s">
        <v>38</v>
      </c>
      <c r="AT2" t="s">
        <v>96</v>
      </c>
      <c r="AU2" t="s">
        <v>97</v>
      </c>
    </row>
    <row r="3" spans="31:56" x14ac:dyDescent="0.25">
      <c r="AE3" t="s">
        <v>2</v>
      </c>
      <c r="AF3">
        <v>170</v>
      </c>
      <c r="AG3">
        <v>157</v>
      </c>
      <c r="AH3">
        <v>152</v>
      </c>
      <c r="AI3">
        <v>147</v>
      </c>
      <c r="AR3" t="s">
        <v>98</v>
      </c>
      <c r="AS3" t="s">
        <v>38</v>
      </c>
      <c r="AT3" t="s">
        <v>99</v>
      </c>
      <c r="AU3" t="s">
        <v>100</v>
      </c>
    </row>
    <row r="4" spans="31:56" x14ac:dyDescent="0.25">
      <c r="AE4" t="s">
        <v>34</v>
      </c>
      <c r="AF4">
        <v>76</v>
      </c>
      <c r="AG4">
        <v>72</v>
      </c>
      <c r="AH4">
        <v>68</v>
      </c>
      <c r="AI4">
        <v>67</v>
      </c>
      <c r="AR4" t="s">
        <v>101</v>
      </c>
      <c r="AS4" t="s">
        <v>38</v>
      </c>
      <c r="AT4" t="s">
        <v>99</v>
      </c>
      <c r="AU4" t="s">
        <v>100</v>
      </c>
    </row>
    <row r="5" spans="31:56" x14ac:dyDescent="0.25">
      <c r="AE5" t="s">
        <v>35</v>
      </c>
      <c r="AF5">
        <v>45</v>
      </c>
      <c r="AG5">
        <v>43</v>
      </c>
      <c r="AH5">
        <v>40</v>
      </c>
      <c r="AI5">
        <v>39</v>
      </c>
      <c r="AR5" t="s">
        <v>102</v>
      </c>
      <c r="AS5" t="s">
        <v>38</v>
      </c>
      <c r="AT5" t="s">
        <v>99</v>
      </c>
      <c r="AU5" t="s">
        <v>100</v>
      </c>
    </row>
    <row r="6" spans="31:56" x14ac:dyDescent="0.25">
      <c r="AE6" t="s">
        <v>1</v>
      </c>
      <c r="AF6">
        <v>141</v>
      </c>
      <c r="AG6">
        <v>126</v>
      </c>
      <c r="AH6">
        <v>120</v>
      </c>
      <c r="AI6">
        <v>134</v>
      </c>
      <c r="AR6" t="s">
        <v>103</v>
      </c>
      <c r="AS6" t="s">
        <v>38</v>
      </c>
      <c r="AT6" t="s">
        <v>99</v>
      </c>
      <c r="AU6" t="s">
        <v>100</v>
      </c>
    </row>
    <row r="7" spans="31:56" x14ac:dyDescent="0.25">
      <c r="AE7" t="s">
        <v>484</v>
      </c>
      <c r="AF7">
        <v>85</v>
      </c>
      <c r="AG7">
        <v>84</v>
      </c>
      <c r="AH7">
        <v>87</v>
      </c>
      <c r="AI7">
        <v>85</v>
      </c>
      <c r="AR7" t="s">
        <v>181</v>
      </c>
      <c r="AS7" t="s">
        <v>38</v>
      </c>
      <c r="AT7" t="s">
        <v>182</v>
      </c>
      <c r="AU7" t="s">
        <v>183</v>
      </c>
    </row>
    <row r="8" spans="31:56" x14ac:dyDescent="0.25">
      <c r="AE8" t="s">
        <v>486</v>
      </c>
      <c r="AF8">
        <v>85</v>
      </c>
      <c r="AG8">
        <v>84</v>
      </c>
      <c r="AH8">
        <v>89</v>
      </c>
      <c r="AI8">
        <v>85</v>
      </c>
      <c r="AR8" t="s">
        <v>188</v>
      </c>
      <c r="AS8" t="s">
        <v>38</v>
      </c>
      <c r="AT8" t="s">
        <v>189</v>
      </c>
      <c r="AU8" t="s">
        <v>190</v>
      </c>
      <c r="AV8" t="s">
        <v>97</v>
      </c>
    </row>
    <row r="9" spans="31:56" x14ac:dyDescent="0.25">
      <c r="AE9" t="s">
        <v>643</v>
      </c>
      <c r="AF9">
        <v>38</v>
      </c>
      <c r="AG9">
        <v>37</v>
      </c>
      <c r="AH9">
        <v>36</v>
      </c>
      <c r="AI9">
        <v>37</v>
      </c>
      <c r="AR9" t="s">
        <v>218</v>
      </c>
      <c r="AS9" t="s">
        <v>99</v>
      </c>
      <c r="AT9" t="s">
        <v>100</v>
      </c>
    </row>
    <row r="10" spans="31:56" x14ac:dyDescent="0.25">
      <c r="AR10" t="s">
        <v>89</v>
      </c>
      <c r="AS10" t="s">
        <v>221</v>
      </c>
    </row>
    <row r="11" spans="31:56" x14ac:dyDescent="0.25">
      <c r="AE11" s="1" t="s">
        <v>23</v>
      </c>
      <c r="AR11" t="s">
        <v>474</v>
      </c>
      <c r="AS11" t="s">
        <v>38</v>
      </c>
      <c r="AT11" t="s">
        <v>476</v>
      </c>
      <c r="AU11" t="s">
        <v>483</v>
      </c>
      <c r="AV11" t="s">
        <v>487</v>
      </c>
      <c r="AW11" t="s">
        <v>484</v>
      </c>
      <c r="AX11" t="s">
        <v>485</v>
      </c>
      <c r="AY11" t="s">
        <v>486</v>
      </c>
      <c r="AZ11" t="s">
        <v>475</v>
      </c>
      <c r="BA11" t="s">
        <v>488</v>
      </c>
      <c r="BB11" t="s">
        <v>643</v>
      </c>
      <c r="BC11" t="s">
        <v>650</v>
      </c>
      <c r="BD11" t="s">
        <v>651</v>
      </c>
    </row>
    <row r="12" spans="31:56" x14ac:dyDescent="0.25">
      <c r="AE12" s="13" t="s">
        <v>537</v>
      </c>
      <c r="AR12" t="s">
        <v>474</v>
      </c>
      <c r="AS12">
        <v>0</v>
      </c>
      <c r="AT12">
        <v>0.4</v>
      </c>
      <c r="AU12">
        <v>0.6</v>
      </c>
      <c r="AV12">
        <v>1</v>
      </c>
      <c r="AW12">
        <v>1</v>
      </c>
      <c r="AX12">
        <v>1</v>
      </c>
      <c r="AY12">
        <v>1</v>
      </c>
      <c r="AZ12">
        <v>1</v>
      </c>
      <c r="BA12">
        <v>0.15</v>
      </c>
      <c r="BB12">
        <v>0.15</v>
      </c>
      <c r="BC12">
        <v>0.15</v>
      </c>
      <c r="BD12">
        <v>0.3</v>
      </c>
    </row>
    <row r="13" spans="31:56" x14ac:dyDescent="0.25">
      <c r="AR13" t="s">
        <v>516</v>
      </c>
      <c r="AS13" t="s">
        <v>38</v>
      </c>
      <c r="AT13" t="s">
        <v>99</v>
      </c>
      <c r="AU13" t="s">
        <v>100</v>
      </c>
    </row>
    <row r="14" spans="31:56" x14ac:dyDescent="0.25">
      <c r="AG14">
        <v>2023</v>
      </c>
      <c r="AH14">
        <v>2024</v>
      </c>
      <c r="AI14">
        <v>2025</v>
      </c>
      <c r="AJ14">
        <v>2026</v>
      </c>
      <c r="AR14" t="s">
        <v>593</v>
      </c>
      <c r="AS14" t="s">
        <v>38</v>
      </c>
      <c r="AT14" t="s">
        <v>594</v>
      </c>
      <c r="AU14" t="s">
        <v>595</v>
      </c>
      <c r="AV14" t="s">
        <v>596</v>
      </c>
      <c r="AW14" t="s">
        <v>597</v>
      </c>
      <c r="AX14" t="s">
        <v>598</v>
      </c>
      <c r="AY14" t="s">
        <v>630</v>
      </c>
    </row>
    <row r="15" spans="31:56" x14ac:dyDescent="0.25">
      <c r="AE15" t="s">
        <v>10</v>
      </c>
      <c r="AF15" t="s">
        <v>11</v>
      </c>
      <c r="AG15">
        <v>1690</v>
      </c>
      <c r="AH15">
        <v>1410</v>
      </c>
      <c r="AI15">
        <v>1300</v>
      </c>
      <c r="AJ15">
        <v>1300</v>
      </c>
    </row>
    <row r="16" spans="31:56" x14ac:dyDescent="0.25">
      <c r="AE16" t="s">
        <v>10</v>
      </c>
      <c r="AF16" t="s">
        <v>12</v>
      </c>
      <c r="AG16">
        <v>650</v>
      </c>
      <c r="AH16">
        <v>542</v>
      </c>
      <c r="AI16">
        <v>500</v>
      </c>
      <c r="AJ16">
        <v>500</v>
      </c>
    </row>
    <row r="17" spans="31:36" x14ac:dyDescent="0.25">
      <c r="AE17" t="s">
        <v>10</v>
      </c>
      <c r="AF17" t="s">
        <v>13</v>
      </c>
      <c r="AG17">
        <v>390</v>
      </c>
      <c r="AH17">
        <v>325</v>
      </c>
      <c r="AI17">
        <v>300</v>
      </c>
      <c r="AJ17">
        <v>300</v>
      </c>
    </row>
    <row r="18" spans="31:36" x14ac:dyDescent="0.25">
      <c r="AE18" t="s">
        <v>14</v>
      </c>
      <c r="AF18" t="s">
        <v>11</v>
      </c>
      <c r="AG18">
        <v>195</v>
      </c>
      <c r="AH18">
        <v>217</v>
      </c>
      <c r="AI18">
        <v>200</v>
      </c>
      <c r="AJ18">
        <v>200</v>
      </c>
    </row>
    <row r="19" spans="31:36" x14ac:dyDescent="0.25">
      <c r="AE19" t="s">
        <v>15</v>
      </c>
      <c r="AF19" t="s">
        <v>11</v>
      </c>
      <c r="AG19">
        <v>195</v>
      </c>
      <c r="AH19">
        <v>217</v>
      </c>
      <c r="AI19">
        <v>200</v>
      </c>
      <c r="AJ19">
        <v>200</v>
      </c>
    </row>
    <row r="20" spans="31:36" x14ac:dyDescent="0.25">
      <c r="AE20" t="s">
        <v>16</v>
      </c>
      <c r="AF20" t="s">
        <v>11</v>
      </c>
      <c r="AG20">
        <v>1170</v>
      </c>
      <c r="AH20">
        <v>976</v>
      </c>
      <c r="AI20">
        <v>900</v>
      </c>
      <c r="AJ20">
        <v>1000</v>
      </c>
    </row>
    <row r="21" spans="31:36" x14ac:dyDescent="0.25">
      <c r="AE21" t="s">
        <v>16</v>
      </c>
      <c r="AF21" t="s">
        <v>12</v>
      </c>
      <c r="AG21">
        <v>520</v>
      </c>
      <c r="AH21">
        <v>434</v>
      </c>
      <c r="AI21">
        <v>400</v>
      </c>
      <c r="AJ21">
        <v>450</v>
      </c>
    </row>
    <row r="22" spans="31:36" x14ac:dyDescent="0.25">
      <c r="AE22" t="s">
        <v>16</v>
      </c>
      <c r="AF22" t="s">
        <v>13</v>
      </c>
      <c r="AG22">
        <v>260</v>
      </c>
      <c r="AH22">
        <v>217</v>
      </c>
      <c r="AI22">
        <v>200</v>
      </c>
      <c r="AJ22">
        <v>200</v>
      </c>
    </row>
    <row r="23" spans="31:36" x14ac:dyDescent="0.25">
      <c r="AE23" t="s">
        <v>17</v>
      </c>
      <c r="AF23" t="s">
        <v>11</v>
      </c>
      <c r="AG23">
        <v>58</v>
      </c>
      <c r="AH23">
        <v>65</v>
      </c>
      <c r="AI23">
        <v>60</v>
      </c>
      <c r="AJ23">
        <v>60</v>
      </c>
    </row>
    <row r="24" spans="31:36" x14ac:dyDescent="0.25">
      <c r="AE24" t="s">
        <v>18</v>
      </c>
      <c r="AF24" t="s">
        <v>11</v>
      </c>
      <c r="AG24">
        <v>78</v>
      </c>
      <c r="AH24">
        <v>217</v>
      </c>
      <c r="AI24">
        <v>200</v>
      </c>
      <c r="AJ24">
        <v>600</v>
      </c>
    </row>
    <row r="25" spans="31:36" x14ac:dyDescent="0.25">
      <c r="AE25" t="s">
        <v>19</v>
      </c>
      <c r="AF25" t="s">
        <v>11</v>
      </c>
      <c r="AG25">
        <v>149</v>
      </c>
      <c r="AH25">
        <v>108</v>
      </c>
      <c r="AI25">
        <v>100</v>
      </c>
      <c r="AJ25">
        <v>100</v>
      </c>
    </row>
    <row r="26" spans="31:36" x14ac:dyDescent="0.25">
      <c r="AE26" t="s">
        <v>20</v>
      </c>
      <c r="AF26" t="s">
        <v>11</v>
      </c>
      <c r="AG26">
        <v>312</v>
      </c>
      <c r="AH26">
        <v>260</v>
      </c>
      <c r="AI26">
        <v>225</v>
      </c>
      <c r="AJ26">
        <v>210</v>
      </c>
    </row>
    <row r="27" spans="31:36" x14ac:dyDescent="0.25">
      <c r="AE27" t="s">
        <v>21</v>
      </c>
      <c r="AF27" t="s">
        <v>11</v>
      </c>
      <c r="AG27">
        <v>169</v>
      </c>
      <c r="AH27">
        <v>162</v>
      </c>
      <c r="AI27">
        <v>150</v>
      </c>
      <c r="AJ27">
        <v>150</v>
      </c>
    </row>
    <row r="28" spans="31:36" x14ac:dyDescent="0.25">
      <c r="AE28" t="s">
        <v>21</v>
      </c>
      <c r="AF28" t="s">
        <v>12</v>
      </c>
      <c r="AG28">
        <v>65</v>
      </c>
      <c r="AH28">
        <v>54</v>
      </c>
      <c r="AI28">
        <v>50</v>
      </c>
      <c r="AJ28">
        <v>50</v>
      </c>
    </row>
    <row r="29" spans="31:36" x14ac:dyDescent="0.25">
      <c r="AE29" t="s">
        <v>22</v>
      </c>
      <c r="AF29" t="s">
        <v>11</v>
      </c>
      <c r="AG29">
        <v>52</v>
      </c>
      <c r="AH29">
        <v>43</v>
      </c>
      <c r="AI29">
        <v>40</v>
      </c>
      <c r="AJ29">
        <v>40</v>
      </c>
    </row>
    <row r="34" spans="31:36" x14ac:dyDescent="0.25">
      <c r="AE34" s="1" t="s">
        <v>24</v>
      </c>
    </row>
    <row r="36" spans="31:36" x14ac:dyDescent="0.25">
      <c r="AE36" t="s">
        <v>104</v>
      </c>
      <c r="AF36">
        <v>2022</v>
      </c>
      <c r="AG36">
        <v>2023</v>
      </c>
      <c r="AH36" t="s">
        <v>105</v>
      </c>
    </row>
    <row r="37" spans="31:36" x14ac:dyDescent="0.25">
      <c r="AE37" t="s">
        <v>90</v>
      </c>
      <c r="AF37" s="99">
        <v>260</v>
      </c>
      <c r="AG37" s="100">
        <v>300</v>
      </c>
      <c r="AH37" s="99">
        <v>350</v>
      </c>
    </row>
    <row r="38" spans="31:36" x14ac:dyDescent="0.25">
      <c r="AE38" t="s">
        <v>91</v>
      </c>
      <c r="AF38" s="99">
        <v>190</v>
      </c>
      <c r="AG38" s="100">
        <v>200</v>
      </c>
      <c r="AH38" s="99">
        <v>220</v>
      </c>
    </row>
    <row r="39" spans="31:36" x14ac:dyDescent="0.25">
      <c r="AE39" t="s">
        <v>92</v>
      </c>
      <c r="AF39" s="99">
        <v>420</v>
      </c>
      <c r="AG39" s="100">
        <v>500</v>
      </c>
      <c r="AH39" s="99">
        <v>550</v>
      </c>
    </row>
    <row r="40" spans="31:36" x14ac:dyDescent="0.25">
      <c r="AE40" t="s">
        <v>93</v>
      </c>
      <c r="AF40" s="99">
        <v>750</v>
      </c>
      <c r="AG40" s="100">
        <v>1000</v>
      </c>
      <c r="AH40" s="99">
        <v>1325</v>
      </c>
    </row>
    <row r="42" spans="31:36" x14ac:dyDescent="0.25">
      <c r="AE42" t="s">
        <v>171</v>
      </c>
      <c r="AF42">
        <v>2022</v>
      </c>
      <c r="AG42">
        <v>2023</v>
      </c>
      <c r="AH42">
        <v>2024</v>
      </c>
      <c r="AI42">
        <v>2025</v>
      </c>
      <c r="AJ42">
        <v>2026</v>
      </c>
    </row>
    <row r="43" spans="31:36" x14ac:dyDescent="0.25">
      <c r="AE43" t="s">
        <v>556</v>
      </c>
      <c r="AF43" s="99">
        <v>0</v>
      </c>
      <c r="AG43" s="100">
        <v>0</v>
      </c>
      <c r="AH43" s="99">
        <v>45</v>
      </c>
      <c r="AI43" s="99">
        <v>45</v>
      </c>
      <c r="AJ43" s="99">
        <v>65</v>
      </c>
    </row>
    <row r="44" spans="31:36" x14ac:dyDescent="0.25">
      <c r="AE44" t="s">
        <v>557</v>
      </c>
      <c r="AF44" s="99">
        <v>0</v>
      </c>
      <c r="AG44" s="100">
        <v>0</v>
      </c>
      <c r="AH44" s="99">
        <v>30</v>
      </c>
      <c r="AI44" s="99">
        <v>30</v>
      </c>
      <c r="AJ44" s="99">
        <v>45</v>
      </c>
    </row>
    <row r="45" spans="31:36" x14ac:dyDescent="0.25">
      <c r="AE45" t="s">
        <v>558</v>
      </c>
      <c r="AF45" s="99">
        <v>0</v>
      </c>
      <c r="AG45" s="100">
        <v>0</v>
      </c>
      <c r="AH45" s="99">
        <v>30</v>
      </c>
      <c r="AI45" s="99">
        <v>30</v>
      </c>
      <c r="AJ45" s="99">
        <v>65</v>
      </c>
    </row>
    <row r="46" spans="31:36" x14ac:dyDescent="0.25">
      <c r="AE46" t="s">
        <v>559</v>
      </c>
      <c r="AF46" s="99">
        <v>0</v>
      </c>
      <c r="AG46" s="100">
        <v>0</v>
      </c>
      <c r="AH46" s="99">
        <v>45</v>
      </c>
      <c r="AI46" s="99">
        <v>45</v>
      </c>
      <c r="AJ46" s="99">
        <v>45</v>
      </c>
    </row>
    <row r="47" spans="31:36" x14ac:dyDescent="0.25">
      <c r="AE47" t="s">
        <v>560</v>
      </c>
      <c r="AF47" s="99">
        <v>0</v>
      </c>
      <c r="AG47" s="100">
        <v>0</v>
      </c>
      <c r="AH47" s="99">
        <v>25</v>
      </c>
      <c r="AI47" s="99">
        <v>25</v>
      </c>
      <c r="AJ47" s="99">
        <v>65</v>
      </c>
    </row>
    <row r="48" spans="31:36" x14ac:dyDescent="0.25">
      <c r="AE48" t="s">
        <v>561</v>
      </c>
      <c r="AF48" s="99">
        <v>0</v>
      </c>
      <c r="AG48" s="100">
        <v>0</v>
      </c>
      <c r="AH48" s="99">
        <v>25</v>
      </c>
      <c r="AI48" s="99">
        <v>25</v>
      </c>
      <c r="AJ48" s="99">
        <v>45</v>
      </c>
    </row>
    <row r="49" spans="31:36" x14ac:dyDescent="0.25">
      <c r="AE49" t="s">
        <v>562</v>
      </c>
      <c r="AF49" s="99">
        <v>0</v>
      </c>
      <c r="AG49" s="100">
        <v>0</v>
      </c>
      <c r="AH49" s="99">
        <v>50</v>
      </c>
      <c r="AI49" s="99">
        <v>50</v>
      </c>
      <c r="AJ49" s="99">
        <v>65</v>
      </c>
    </row>
    <row r="50" spans="31:36" x14ac:dyDescent="0.25">
      <c r="AE50" t="s">
        <v>563</v>
      </c>
      <c r="AF50" s="99">
        <v>0</v>
      </c>
      <c r="AG50" s="100">
        <v>0</v>
      </c>
      <c r="AH50" s="99">
        <v>50</v>
      </c>
      <c r="AI50" s="99">
        <v>50</v>
      </c>
      <c r="AJ50" s="99">
        <v>50</v>
      </c>
    </row>
    <row r="51" spans="31:36" x14ac:dyDescent="0.25">
      <c r="AE51" t="s">
        <v>564</v>
      </c>
      <c r="AF51" s="99">
        <v>0</v>
      </c>
      <c r="AG51" s="100">
        <v>0</v>
      </c>
      <c r="AH51" s="99">
        <v>65</v>
      </c>
      <c r="AI51" s="99">
        <v>65</v>
      </c>
      <c r="AJ51" s="99">
        <v>65</v>
      </c>
    </row>
    <row r="52" spans="31:36" x14ac:dyDescent="0.25">
      <c r="AE52" t="s">
        <v>565</v>
      </c>
      <c r="AF52" s="99">
        <v>0</v>
      </c>
      <c r="AG52" s="100">
        <v>0</v>
      </c>
      <c r="AH52" s="99">
        <v>65</v>
      </c>
      <c r="AI52" s="99">
        <v>65</v>
      </c>
      <c r="AJ52" s="99">
        <v>65</v>
      </c>
    </row>
    <row r="55" spans="31:36" x14ac:dyDescent="0.25">
      <c r="AF55" s="99"/>
      <c r="AG55" s="100"/>
    </row>
    <row r="56" spans="31:36" x14ac:dyDescent="0.25">
      <c r="AF56" s="99"/>
      <c r="AG56" s="100"/>
    </row>
    <row r="58" spans="31:36" x14ac:dyDescent="0.25">
      <c r="AE58" t="s">
        <v>172</v>
      </c>
      <c r="AF58">
        <v>2022</v>
      </c>
      <c r="AG58">
        <v>2023</v>
      </c>
      <c r="AH58">
        <v>2024</v>
      </c>
      <c r="AI58">
        <v>2025</v>
      </c>
      <c r="AJ58">
        <v>2026</v>
      </c>
    </row>
    <row r="59" spans="31:36" x14ac:dyDescent="0.25">
      <c r="AE59" t="s">
        <v>173</v>
      </c>
      <c r="AF59" s="99">
        <v>600</v>
      </c>
      <c r="AG59" s="100">
        <v>600</v>
      </c>
      <c r="AH59" s="100">
        <v>750</v>
      </c>
      <c r="AI59" s="100">
        <v>750</v>
      </c>
      <c r="AJ59" s="100">
        <v>750</v>
      </c>
    </row>
    <row r="60" spans="31:36" x14ac:dyDescent="0.25">
      <c r="AF60" s="99"/>
      <c r="AG60" s="100"/>
    </row>
    <row r="61" spans="31:36" x14ac:dyDescent="0.25">
      <c r="AE61" t="s">
        <v>174</v>
      </c>
      <c r="AF61">
        <v>2022</v>
      </c>
      <c r="AG61">
        <v>2023</v>
      </c>
      <c r="AH61">
        <v>2024</v>
      </c>
      <c r="AI61">
        <v>2025</v>
      </c>
      <c r="AJ61">
        <v>2026</v>
      </c>
    </row>
    <row r="62" spans="31:36" x14ac:dyDescent="0.25">
      <c r="AE62" t="s">
        <v>173</v>
      </c>
      <c r="AF62" s="99">
        <v>700</v>
      </c>
      <c r="AG62" s="100">
        <v>700</v>
      </c>
      <c r="AH62" s="100">
        <v>700</v>
      </c>
      <c r="AI62" s="100">
        <v>700</v>
      </c>
      <c r="AJ62" s="100">
        <v>700</v>
      </c>
    </row>
    <row r="64" spans="31:36" x14ac:dyDescent="0.25">
      <c r="AE64" t="s">
        <v>175</v>
      </c>
      <c r="AF64">
        <v>2022</v>
      </c>
      <c r="AG64">
        <v>2023</v>
      </c>
      <c r="AH64">
        <v>2024</v>
      </c>
      <c r="AI64">
        <v>2025</v>
      </c>
      <c r="AJ64">
        <v>2026</v>
      </c>
    </row>
    <row r="65" spans="31:36" x14ac:dyDescent="0.25">
      <c r="AE65" t="s">
        <v>173</v>
      </c>
      <c r="AF65" s="99">
        <v>800</v>
      </c>
      <c r="AG65" s="100">
        <v>500</v>
      </c>
      <c r="AH65" s="100">
        <v>800</v>
      </c>
      <c r="AI65" s="100">
        <v>800</v>
      </c>
      <c r="AJ65" s="100">
        <v>800</v>
      </c>
    </row>
    <row r="67" spans="31:36" x14ac:dyDescent="0.25">
      <c r="AE67" t="s">
        <v>176</v>
      </c>
      <c r="AF67">
        <v>2022</v>
      </c>
      <c r="AG67">
        <v>2023</v>
      </c>
      <c r="AH67">
        <v>2024</v>
      </c>
      <c r="AI67">
        <v>2025</v>
      </c>
      <c r="AJ67">
        <v>2026</v>
      </c>
    </row>
    <row r="68" spans="31:36" x14ac:dyDescent="0.25">
      <c r="AE68" t="s">
        <v>173</v>
      </c>
      <c r="AF68" s="99">
        <v>0</v>
      </c>
      <c r="AG68" s="100">
        <v>400</v>
      </c>
      <c r="AH68" s="100">
        <v>400</v>
      </c>
      <c r="AI68" s="100">
        <v>400</v>
      </c>
      <c r="AJ68" s="100">
        <v>400</v>
      </c>
    </row>
    <row r="70" spans="31:36" x14ac:dyDescent="0.25">
      <c r="AE70" t="s">
        <v>554</v>
      </c>
      <c r="AF70">
        <v>2022</v>
      </c>
      <c r="AG70">
        <v>2023</v>
      </c>
      <c r="AH70">
        <v>2024</v>
      </c>
      <c r="AI70">
        <v>2025</v>
      </c>
      <c r="AJ70">
        <v>2026</v>
      </c>
    </row>
    <row r="71" spans="31:36" x14ac:dyDescent="0.25">
      <c r="AE71" t="s">
        <v>173</v>
      </c>
      <c r="AF71" s="99">
        <v>190</v>
      </c>
      <c r="AG71" s="100">
        <v>150</v>
      </c>
      <c r="AH71" s="100">
        <v>150</v>
      </c>
      <c r="AI71" s="100">
        <v>150</v>
      </c>
      <c r="AJ71" s="100">
        <v>150</v>
      </c>
    </row>
    <row r="73" spans="31:36" x14ac:dyDescent="0.25">
      <c r="AE73" t="s">
        <v>555</v>
      </c>
      <c r="AF73">
        <v>2022</v>
      </c>
      <c r="AG73">
        <v>2023</v>
      </c>
      <c r="AH73">
        <v>2024</v>
      </c>
      <c r="AI73">
        <v>2025</v>
      </c>
      <c r="AJ73">
        <v>2026</v>
      </c>
    </row>
    <row r="74" spans="31:36" x14ac:dyDescent="0.25">
      <c r="AE74" t="s">
        <v>566</v>
      </c>
      <c r="AF74" s="99">
        <v>0</v>
      </c>
      <c r="AG74" s="100">
        <v>0</v>
      </c>
      <c r="AH74" s="100">
        <v>150</v>
      </c>
      <c r="AI74" s="100">
        <v>150</v>
      </c>
      <c r="AJ74" s="100">
        <v>150</v>
      </c>
    </row>
    <row r="75" spans="31:36" x14ac:dyDescent="0.25">
      <c r="AE75" t="s">
        <v>567</v>
      </c>
      <c r="AF75" s="99">
        <v>0</v>
      </c>
      <c r="AG75" s="100">
        <v>0</v>
      </c>
      <c r="AH75" s="100">
        <v>120</v>
      </c>
      <c r="AI75" s="100">
        <v>120</v>
      </c>
      <c r="AJ75" s="100">
        <v>120</v>
      </c>
    </row>
    <row r="76" spans="31:36" x14ac:dyDescent="0.25">
      <c r="AE76" t="s">
        <v>568</v>
      </c>
      <c r="AF76" s="99">
        <v>0</v>
      </c>
      <c r="AG76" s="100">
        <v>0</v>
      </c>
      <c r="AH76" s="100">
        <v>120</v>
      </c>
      <c r="AI76" s="100">
        <v>120</v>
      </c>
      <c r="AJ76" s="100">
        <v>120</v>
      </c>
    </row>
    <row r="77" spans="31:36" x14ac:dyDescent="0.25">
      <c r="AE77" t="s">
        <v>570</v>
      </c>
      <c r="AF77" s="99">
        <v>0</v>
      </c>
      <c r="AG77" s="100">
        <v>0</v>
      </c>
      <c r="AH77" s="99">
        <v>60</v>
      </c>
      <c r="AI77" s="99">
        <v>60</v>
      </c>
      <c r="AJ77" s="99">
        <v>60</v>
      </c>
    </row>
    <row r="78" spans="31:36" x14ac:dyDescent="0.25">
      <c r="AE78" t="s">
        <v>569</v>
      </c>
      <c r="AF78" s="99">
        <v>0</v>
      </c>
      <c r="AG78" s="100">
        <v>0</v>
      </c>
      <c r="AH78" s="99">
        <v>50</v>
      </c>
      <c r="AI78" s="99">
        <v>50</v>
      </c>
      <c r="AJ78" s="99">
        <v>50</v>
      </c>
    </row>
    <row r="79" spans="31:36" x14ac:dyDescent="0.25">
      <c r="AF79" s="99"/>
      <c r="AG79" s="99"/>
      <c r="AH79" s="99"/>
    </row>
    <row r="81" spans="31:36" x14ac:dyDescent="0.25">
      <c r="AE81" t="s">
        <v>177</v>
      </c>
      <c r="AF81">
        <v>2022</v>
      </c>
      <c r="AG81">
        <v>2023</v>
      </c>
      <c r="AH81">
        <v>2024</v>
      </c>
      <c r="AI81">
        <v>2025</v>
      </c>
      <c r="AJ81">
        <v>2026</v>
      </c>
    </row>
    <row r="82" spans="31:36" x14ac:dyDescent="0.25">
      <c r="AE82" t="s">
        <v>178</v>
      </c>
      <c r="AF82" s="106">
        <v>6</v>
      </c>
      <c r="AG82" s="106">
        <v>6</v>
      </c>
      <c r="AH82" s="106">
        <v>9</v>
      </c>
      <c r="AI82" s="106">
        <v>9</v>
      </c>
      <c r="AJ82" s="106">
        <v>9</v>
      </c>
    </row>
    <row r="83" spans="31:36" x14ac:dyDescent="0.25">
      <c r="AE83" t="s">
        <v>142</v>
      </c>
      <c r="AF83" s="106">
        <v>55</v>
      </c>
      <c r="AG83" s="106">
        <v>55</v>
      </c>
      <c r="AH83" s="106">
        <v>90</v>
      </c>
      <c r="AI83" s="106">
        <v>90</v>
      </c>
      <c r="AJ83" s="106">
        <v>90</v>
      </c>
    </row>
    <row r="84" spans="31:36" x14ac:dyDescent="0.25">
      <c r="AF84" s="99"/>
      <c r="AG84" s="99"/>
    </row>
    <row r="85" spans="31:36" x14ac:dyDescent="0.25">
      <c r="AE85" t="s">
        <v>179</v>
      </c>
      <c r="AF85" s="105">
        <v>2022</v>
      </c>
      <c r="AG85" s="105">
        <v>2023</v>
      </c>
      <c r="AH85">
        <v>2024</v>
      </c>
      <c r="AI85">
        <v>2025</v>
      </c>
      <c r="AJ85">
        <v>2026</v>
      </c>
    </row>
    <row r="86" spans="31:36" x14ac:dyDescent="0.25">
      <c r="AE86" t="s">
        <v>572</v>
      </c>
      <c r="AF86" s="106">
        <v>200</v>
      </c>
      <c r="AG86" s="106">
        <v>200</v>
      </c>
      <c r="AH86" s="106">
        <v>200</v>
      </c>
      <c r="AI86" s="106">
        <v>200</v>
      </c>
      <c r="AJ86" s="106">
        <v>200</v>
      </c>
    </row>
    <row r="87" spans="31:36" x14ac:dyDescent="0.25">
      <c r="AE87" t="s">
        <v>573</v>
      </c>
      <c r="AF87" s="106">
        <v>30</v>
      </c>
      <c r="AG87" s="106">
        <v>30</v>
      </c>
      <c r="AH87" s="106">
        <v>30</v>
      </c>
      <c r="AI87" s="106">
        <v>30</v>
      </c>
      <c r="AJ87" s="106">
        <v>30</v>
      </c>
    </row>
    <row r="88" spans="31:36" x14ac:dyDescent="0.25">
      <c r="AE88" t="s">
        <v>574</v>
      </c>
      <c r="AF88" s="106">
        <v>60</v>
      </c>
      <c r="AG88" s="106">
        <v>60</v>
      </c>
      <c r="AH88" s="106">
        <v>60</v>
      </c>
      <c r="AI88" s="106">
        <v>60</v>
      </c>
      <c r="AJ88" s="106">
        <v>60</v>
      </c>
    </row>
    <row r="89" spans="31:36" x14ac:dyDescent="0.25">
      <c r="AE89" t="s">
        <v>575</v>
      </c>
      <c r="AF89" s="106">
        <v>30</v>
      </c>
      <c r="AG89" s="106">
        <v>30</v>
      </c>
      <c r="AH89" s="106">
        <v>30</v>
      </c>
      <c r="AI89" s="106">
        <v>30</v>
      </c>
      <c r="AJ89" s="106">
        <v>30</v>
      </c>
    </row>
    <row r="90" spans="31:36" x14ac:dyDescent="0.25">
      <c r="AE90" t="s">
        <v>576</v>
      </c>
      <c r="AF90" s="106">
        <v>200</v>
      </c>
      <c r="AG90" s="106">
        <v>200</v>
      </c>
      <c r="AH90" s="106">
        <v>200</v>
      </c>
      <c r="AI90" s="106">
        <v>200</v>
      </c>
      <c r="AJ90" s="106">
        <v>200</v>
      </c>
    </row>
    <row r="91" spans="31:36" x14ac:dyDescent="0.25">
      <c r="AF91" s="106"/>
      <c r="AG91" s="106"/>
    </row>
    <row r="93" spans="31:36" x14ac:dyDescent="0.25">
      <c r="AE93" t="s">
        <v>571</v>
      </c>
      <c r="AF93" s="105">
        <v>2022</v>
      </c>
      <c r="AG93" s="105">
        <v>2023</v>
      </c>
      <c r="AH93">
        <v>2024</v>
      </c>
      <c r="AI93">
        <v>2025</v>
      </c>
      <c r="AJ93">
        <v>2026</v>
      </c>
    </row>
    <row r="94" spans="31:36" x14ac:dyDescent="0.25">
      <c r="AE94" s="103" t="s">
        <v>160</v>
      </c>
      <c r="AF94" s="99">
        <v>60</v>
      </c>
      <c r="AG94" s="99">
        <v>60</v>
      </c>
      <c r="AH94" s="99">
        <v>60</v>
      </c>
      <c r="AI94" s="99">
        <v>60</v>
      </c>
      <c r="AJ94" s="99">
        <v>60</v>
      </c>
    </row>
    <row r="95" spans="31:36" x14ac:dyDescent="0.25">
      <c r="AE95" s="103" t="s">
        <v>161</v>
      </c>
      <c r="AF95" s="99">
        <v>90</v>
      </c>
      <c r="AG95" s="99">
        <v>90</v>
      </c>
      <c r="AH95" s="99">
        <v>90</v>
      </c>
      <c r="AI95" s="99">
        <v>90</v>
      </c>
      <c r="AJ95" s="99">
        <v>90</v>
      </c>
    </row>
    <row r="96" spans="31:36" x14ac:dyDescent="0.25">
      <c r="AE96" s="103" t="s">
        <v>162</v>
      </c>
      <c r="AF96" s="99">
        <v>120</v>
      </c>
      <c r="AG96" s="99">
        <v>150</v>
      </c>
      <c r="AH96" s="99">
        <v>120</v>
      </c>
      <c r="AI96" s="99">
        <v>120</v>
      </c>
      <c r="AJ96" s="99">
        <v>120</v>
      </c>
    </row>
    <row r="97" spans="30:37" x14ac:dyDescent="0.25">
      <c r="AE97" s="524" t="s">
        <v>577</v>
      </c>
      <c r="AF97" s="99">
        <v>0</v>
      </c>
      <c r="AG97" s="99">
        <v>0</v>
      </c>
      <c r="AH97" s="99">
        <v>150</v>
      </c>
      <c r="AI97" s="99">
        <v>150</v>
      </c>
      <c r="AJ97" s="99">
        <v>150</v>
      </c>
    </row>
    <row r="98" spans="30:37" x14ac:dyDescent="0.25">
      <c r="AE98" s="524" t="s">
        <v>578</v>
      </c>
      <c r="AF98" s="99">
        <v>0</v>
      </c>
      <c r="AG98" s="99">
        <v>0</v>
      </c>
      <c r="AH98" s="99">
        <v>180</v>
      </c>
      <c r="AI98" s="99">
        <v>180</v>
      </c>
      <c r="AJ98" s="99">
        <v>180</v>
      </c>
    </row>
    <row r="99" spans="30:37" x14ac:dyDescent="0.25">
      <c r="AE99" s="524" t="s">
        <v>579</v>
      </c>
      <c r="AF99" s="99">
        <v>0</v>
      </c>
      <c r="AG99" s="99">
        <v>0</v>
      </c>
      <c r="AH99" s="99">
        <v>210</v>
      </c>
      <c r="AI99" s="99">
        <v>210</v>
      </c>
      <c r="AJ99" s="99">
        <v>210</v>
      </c>
    </row>
    <row r="100" spans="30:37" x14ac:dyDescent="0.25">
      <c r="AE100" s="103" t="s">
        <v>154</v>
      </c>
      <c r="AF100" s="99">
        <v>60</v>
      </c>
      <c r="AG100" s="99">
        <v>60</v>
      </c>
      <c r="AH100" s="99">
        <v>60</v>
      </c>
      <c r="AI100" s="99">
        <v>60</v>
      </c>
      <c r="AJ100" s="99">
        <v>60</v>
      </c>
    </row>
    <row r="101" spans="30:37" x14ac:dyDescent="0.25">
      <c r="AE101" s="103" t="s">
        <v>155</v>
      </c>
      <c r="AF101" s="99">
        <v>90</v>
      </c>
      <c r="AG101" s="99">
        <v>90</v>
      </c>
      <c r="AH101" s="99">
        <v>90</v>
      </c>
      <c r="AI101" s="99">
        <v>90</v>
      </c>
      <c r="AJ101" s="99">
        <v>90</v>
      </c>
    </row>
    <row r="102" spans="30:37" x14ac:dyDescent="0.25">
      <c r="AE102" s="103" t="s">
        <v>156</v>
      </c>
      <c r="AF102" s="99">
        <v>150</v>
      </c>
      <c r="AG102" s="99">
        <v>150</v>
      </c>
      <c r="AH102" s="99">
        <v>120</v>
      </c>
      <c r="AI102" s="99">
        <v>120</v>
      </c>
      <c r="AJ102" s="99">
        <v>120</v>
      </c>
    </row>
    <row r="103" spans="30:37" x14ac:dyDescent="0.25">
      <c r="AE103" s="524" t="s">
        <v>580</v>
      </c>
      <c r="AF103" s="99">
        <v>0</v>
      </c>
      <c r="AG103" s="99">
        <v>0</v>
      </c>
      <c r="AH103" s="99">
        <v>180</v>
      </c>
      <c r="AI103" s="99">
        <v>180</v>
      </c>
      <c r="AJ103" s="99">
        <v>180</v>
      </c>
    </row>
    <row r="104" spans="30:37" x14ac:dyDescent="0.25">
      <c r="AE104" s="103" t="s">
        <v>157</v>
      </c>
      <c r="AF104" s="99">
        <v>60</v>
      </c>
      <c r="AG104" s="99">
        <v>60</v>
      </c>
      <c r="AH104" s="99">
        <v>60</v>
      </c>
      <c r="AI104" s="99">
        <v>60</v>
      </c>
      <c r="AJ104" s="99">
        <v>60</v>
      </c>
    </row>
    <row r="105" spans="30:37" x14ac:dyDescent="0.25">
      <c r="AE105" s="103" t="s">
        <v>158</v>
      </c>
      <c r="AF105" s="99">
        <v>90</v>
      </c>
      <c r="AG105" s="99">
        <v>90</v>
      </c>
      <c r="AH105" s="99">
        <v>90</v>
      </c>
      <c r="AI105" s="99">
        <v>90</v>
      </c>
      <c r="AJ105" s="99">
        <v>90</v>
      </c>
    </row>
    <row r="106" spans="30:37" x14ac:dyDescent="0.25">
      <c r="AE106" s="103" t="s">
        <v>159</v>
      </c>
      <c r="AF106" s="99">
        <v>150</v>
      </c>
      <c r="AG106" s="99">
        <v>150</v>
      </c>
      <c r="AH106" s="99">
        <v>120</v>
      </c>
      <c r="AI106" s="99">
        <v>120</v>
      </c>
      <c r="AJ106" s="99">
        <v>120</v>
      </c>
    </row>
    <row r="107" spans="30:37" x14ac:dyDescent="0.25">
      <c r="AE107" s="524" t="s">
        <v>581</v>
      </c>
      <c r="AF107" s="99">
        <v>0</v>
      </c>
      <c r="AG107" s="99">
        <v>0</v>
      </c>
      <c r="AH107" s="99">
        <v>150</v>
      </c>
      <c r="AI107" s="99">
        <v>150</v>
      </c>
      <c r="AJ107" s="99">
        <v>150</v>
      </c>
    </row>
    <row r="108" spans="30:37" x14ac:dyDescent="0.25">
      <c r="AE108" s="103" t="s">
        <v>163</v>
      </c>
      <c r="AF108" s="99">
        <v>60</v>
      </c>
      <c r="AG108" s="99">
        <v>60</v>
      </c>
      <c r="AH108" s="99">
        <v>60</v>
      </c>
      <c r="AI108" s="99">
        <v>60</v>
      </c>
      <c r="AJ108" s="99">
        <v>60</v>
      </c>
    </row>
    <row r="109" spans="30:37" x14ac:dyDescent="0.25">
      <c r="AD109" s="567"/>
      <c r="AE109" s="576" t="s">
        <v>634</v>
      </c>
      <c r="AF109" s="577">
        <v>90</v>
      </c>
      <c r="AG109" s="577">
        <v>90</v>
      </c>
      <c r="AH109" s="577">
        <v>90</v>
      </c>
      <c r="AI109" s="577">
        <v>90</v>
      </c>
      <c r="AJ109" s="577">
        <v>90</v>
      </c>
      <c r="AK109" t="s">
        <v>637</v>
      </c>
    </row>
    <row r="110" spans="30:37" x14ac:dyDescent="0.25">
      <c r="AE110" s="103" t="s">
        <v>164</v>
      </c>
      <c r="AF110" s="99">
        <v>150</v>
      </c>
      <c r="AG110" s="99">
        <v>150</v>
      </c>
      <c r="AH110" s="99">
        <v>120</v>
      </c>
      <c r="AI110" s="99">
        <v>120</v>
      </c>
      <c r="AJ110" s="99">
        <v>120</v>
      </c>
    </row>
    <row r="111" spans="30:37" x14ac:dyDescent="0.25">
      <c r="AE111" s="524" t="s">
        <v>582</v>
      </c>
      <c r="AF111" s="99">
        <v>0</v>
      </c>
      <c r="AG111" s="99">
        <v>0</v>
      </c>
      <c r="AH111" s="99">
        <v>180</v>
      </c>
      <c r="AI111" s="99">
        <v>180</v>
      </c>
      <c r="AJ111" s="99">
        <v>180</v>
      </c>
    </row>
    <row r="112" spans="30:37" x14ac:dyDescent="0.25">
      <c r="AE112" s="524" t="s">
        <v>583</v>
      </c>
      <c r="AF112" s="99">
        <v>0</v>
      </c>
      <c r="AG112" s="99">
        <v>0</v>
      </c>
      <c r="AH112" s="99">
        <v>210</v>
      </c>
      <c r="AI112" s="99">
        <v>210</v>
      </c>
      <c r="AJ112" s="99">
        <v>210</v>
      </c>
    </row>
    <row r="113" spans="30:37" x14ac:dyDescent="0.25">
      <c r="AE113" s="103" t="s">
        <v>165</v>
      </c>
      <c r="AF113" s="99">
        <v>60</v>
      </c>
      <c r="AG113" s="99">
        <v>60</v>
      </c>
      <c r="AH113" s="99">
        <v>60</v>
      </c>
      <c r="AI113" s="99">
        <v>60</v>
      </c>
      <c r="AJ113" s="99">
        <v>60</v>
      </c>
    </row>
    <row r="114" spans="30:37" x14ac:dyDescent="0.25">
      <c r="AD114" s="567"/>
      <c r="AE114" s="576" t="s">
        <v>635</v>
      </c>
      <c r="AF114" s="577">
        <v>90</v>
      </c>
      <c r="AG114" s="577">
        <v>90</v>
      </c>
      <c r="AH114" s="577">
        <v>90</v>
      </c>
      <c r="AI114" s="577">
        <v>90</v>
      </c>
      <c r="AJ114" s="577">
        <v>90</v>
      </c>
      <c r="AK114" t="s">
        <v>637</v>
      </c>
    </row>
    <row r="115" spans="30:37" x14ac:dyDescent="0.25">
      <c r="AE115" s="103" t="s">
        <v>166</v>
      </c>
      <c r="AF115" s="99">
        <v>150</v>
      </c>
      <c r="AG115" s="99">
        <v>150</v>
      </c>
      <c r="AH115" s="99">
        <v>120</v>
      </c>
      <c r="AI115" s="99">
        <v>120</v>
      </c>
      <c r="AJ115" s="99">
        <v>120</v>
      </c>
    </row>
    <row r="116" spans="30:37" x14ac:dyDescent="0.25">
      <c r="AE116" s="524" t="s">
        <v>584</v>
      </c>
      <c r="AF116" s="99">
        <v>0</v>
      </c>
      <c r="AG116" s="99">
        <v>0</v>
      </c>
      <c r="AH116" s="99">
        <v>150</v>
      </c>
      <c r="AI116" s="99">
        <v>150</v>
      </c>
      <c r="AJ116" s="99">
        <v>150</v>
      </c>
    </row>
    <row r="117" spans="30:37" x14ac:dyDescent="0.25">
      <c r="AE117" s="524" t="s">
        <v>585</v>
      </c>
      <c r="AF117" s="99">
        <v>0</v>
      </c>
      <c r="AG117" s="99">
        <v>0</v>
      </c>
      <c r="AH117" s="99">
        <v>180</v>
      </c>
      <c r="AI117" s="99">
        <v>180</v>
      </c>
      <c r="AJ117" s="99">
        <v>180</v>
      </c>
    </row>
    <row r="118" spans="30:37" x14ac:dyDescent="0.25">
      <c r="AD118" s="567"/>
      <c r="AE118" s="576" t="s">
        <v>636</v>
      </c>
      <c r="AF118" s="577">
        <v>60</v>
      </c>
      <c r="AG118" s="577">
        <v>60</v>
      </c>
      <c r="AH118" s="577">
        <v>60</v>
      </c>
      <c r="AI118" s="577">
        <v>60</v>
      </c>
      <c r="AJ118" s="577">
        <v>60</v>
      </c>
      <c r="AK118" t="s">
        <v>637</v>
      </c>
    </row>
    <row r="119" spans="30:37" x14ac:dyDescent="0.25">
      <c r="AE119" s="103" t="s">
        <v>167</v>
      </c>
      <c r="AF119" s="99">
        <v>90</v>
      </c>
      <c r="AG119" s="99">
        <v>90</v>
      </c>
      <c r="AH119" s="99">
        <v>90</v>
      </c>
      <c r="AI119" s="99">
        <v>90</v>
      </c>
      <c r="AJ119" s="99">
        <v>90</v>
      </c>
    </row>
    <row r="120" spans="30:37" x14ac:dyDescent="0.25">
      <c r="AE120" s="103" t="s">
        <v>168</v>
      </c>
      <c r="AF120" s="99">
        <v>150</v>
      </c>
      <c r="AG120" s="99">
        <v>150</v>
      </c>
      <c r="AH120" s="99">
        <v>120</v>
      </c>
      <c r="AI120" s="99">
        <v>120</v>
      </c>
      <c r="AJ120" s="99">
        <v>120</v>
      </c>
    </row>
    <row r="121" spans="30:37" x14ac:dyDescent="0.25">
      <c r="AE121" s="524" t="s">
        <v>586</v>
      </c>
      <c r="AF121" s="99">
        <v>0</v>
      </c>
      <c r="AG121" s="99">
        <v>0</v>
      </c>
      <c r="AH121" s="99">
        <v>150</v>
      </c>
      <c r="AI121" s="99">
        <v>150</v>
      </c>
      <c r="AJ121" s="99">
        <v>150</v>
      </c>
    </row>
    <row r="122" spans="30:37" x14ac:dyDescent="0.25">
      <c r="AE122" s="524" t="s">
        <v>587</v>
      </c>
      <c r="AF122" s="99">
        <v>0</v>
      </c>
      <c r="AG122" s="99">
        <v>0</v>
      </c>
      <c r="AH122" s="99">
        <v>180</v>
      </c>
      <c r="AI122" s="99">
        <v>180</v>
      </c>
      <c r="AJ122" s="99">
        <v>180</v>
      </c>
    </row>
    <row r="123" spans="30:37" x14ac:dyDescent="0.25">
      <c r="AE123" s="563" t="s">
        <v>588</v>
      </c>
      <c r="AF123" s="99">
        <v>0</v>
      </c>
      <c r="AG123" s="99">
        <v>0</v>
      </c>
      <c r="AH123" s="99">
        <v>60</v>
      </c>
      <c r="AI123" s="99">
        <v>60</v>
      </c>
      <c r="AJ123" s="99">
        <v>60</v>
      </c>
    </row>
    <row r="124" spans="30:37" x14ac:dyDescent="0.25">
      <c r="AE124" s="563" t="s">
        <v>589</v>
      </c>
      <c r="AF124" s="99">
        <v>0</v>
      </c>
      <c r="AG124" s="99">
        <v>0</v>
      </c>
      <c r="AH124" s="99">
        <v>120</v>
      </c>
      <c r="AI124" s="99">
        <v>120</v>
      </c>
      <c r="AJ124" s="99">
        <v>120</v>
      </c>
    </row>
    <row r="125" spans="30:37" x14ac:dyDescent="0.25">
      <c r="AE125" s="563" t="s">
        <v>590</v>
      </c>
      <c r="AF125" s="99">
        <v>0</v>
      </c>
      <c r="AG125" s="99">
        <v>0</v>
      </c>
      <c r="AH125" s="99">
        <v>150</v>
      </c>
      <c r="AI125" s="99">
        <v>150</v>
      </c>
      <c r="AJ125" s="99">
        <v>150</v>
      </c>
    </row>
    <row r="126" spans="30:37" x14ac:dyDescent="0.25">
      <c r="AE126" s="563" t="s">
        <v>591</v>
      </c>
      <c r="AF126" s="99">
        <v>0</v>
      </c>
      <c r="AG126" s="99">
        <v>0</v>
      </c>
      <c r="AH126" s="99">
        <v>180</v>
      </c>
      <c r="AI126" s="99">
        <v>180</v>
      </c>
      <c r="AJ126" s="99">
        <v>180</v>
      </c>
    </row>
    <row r="128" spans="30:37" x14ac:dyDescent="0.25">
      <c r="AE128" s="528" t="s">
        <v>668</v>
      </c>
      <c r="AF128" s="105">
        <v>2022</v>
      </c>
      <c r="AG128" s="105">
        <v>2023</v>
      </c>
      <c r="AH128">
        <v>2024</v>
      </c>
      <c r="AI128">
        <v>2025</v>
      </c>
      <c r="AJ128">
        <v>2026</v>
      </c>
    </row>
    <row r="129" spans="31:36" x14ac:dyDescent="0.25">
      <c r="AE129" s="528" t="s">
        <v>173</v>
      </c>
      <c r="AF129" s="99">
        <v>0</v>
      </c>
      <c r="AG129" s="99">
        <v>0</v>
      </c>
      <c r="AH129" s="106">
        <v>70</v>
      </c>
      <c r="AI129" s="106">
        <v>70</v>
      </c>
      <c r="AJ129" s="106">
        <v>70</v>
      </c>
    </row>
    <row r="131" spans="31:36" x14ac:dyDescent="0.25">
      <c r="AE131" t="s">
        <v>669</v>
      </c>
      <c r="AF131" s="105">
        <v>2022</v>
      </c>
      <c r="AG131" s="105">
        <v>2023</v>
      </c>
      <c r="AH131">
        <v>2024</v>
      </c>
      <c r="AI131">
        <v>2025</v>
      </c>
      <c r="AJ131">
        <v>2026</v>
      </c>
    </row>
    <row r="132" spans="31:36" x14ac:dyDescent="0.25">
      <c r="AE132" t="s">
        <v>173</v>
      </c>
      <c r="AF132" s="99">
        <v>0</v>
      </c>
      <c r="AG132" s="99">
        <v>40</v>
      </c>
      <c r="AH132" s="106">
        <v>40</v>
      </c>
      <c r="AI132" s="106">
        <v>40</v>
      </c>
      <c r="AJ132" s="106">
        <v>40</v>
      </c>
    </row>
    <row r="134" spans="31:36" x14ac:dyDescent="0.25">
      <c r="AE134" t="s">
        <v>677</v>
      </c>
      <c r="AF134" s="105">
        <v>2022</v>
      </c>
      <c r="AG134" s="105">
        <v>2023</v>
      </c>
      <c r="AH134">
        <v>2024</v>
      </c>
      <c r="AI134">
        <v>2025</v>
      </c>
      <c r="AJ134">
        <v>2026</v>
      </c>
    </row>
    <row r="135" spans="31:36" x14ac:dyDescent="0.25">
      <c r="AE135" t="s">
        <v>681</v>
      </c>
      <c r="AF135" s="605">
        <v>0</v>
      </c>
      <c r="AG135" s="605">
        <v>1230</v>
      </c>
      <c r="AH135" s="605">
        <v>1230</v>
      </c>
      <c r="AI135" s="605">
        <v>1230</v>
      </c>
      <c r="AJ135" s="605">
        <v>1230</v>
      </c>
    </row>
    <row r="136" spans="31:36" x14ac:dyDescent="0.25">
      <c r="AE136" t="s">
        <v>695</v>
      </c>
      <c r="AF136" s="605">
        <v>760</v>
      </c>
      <c r="AG136" s="605">
        <v>760</v>
      </c>
      <c r="AH136" s="605">
        <v>760</v>
      </c>
      <c r="AI136" s="605">
        <v>760</v>
      </c>
      <c r="AJ136" s="605">
        <v>760</v>
      </c>
    </row>
    <row r="137" spans="31:36" x14ac:dyDescent="0.25">
      <c r="AE137" t="s">
        <v>682</v>
      </c>
      <c r="AF137" s="605">
        <v>0</v>
      </c>
      <c r="AG137" s="605">
        <v>620</v>
      </c>
      <c r="AH137" s="605">
        <v>620</v>
      </c>
      <c r="AI137" s="605">
        <v>620</v>
      </c>
      <c r="AJ137" s="605">
        <v>620</v>
      </c>
    </row>
    <row r="138" spans="31:36" x14ac:dyDescent="0.25">
      <c r="AE138" t="s">
        <v>678</v>
      </c>
      <c r="AF138" s="605">
        <v>0</v>
      </c>
      <c r="AG138" s="605">
        <v>235</v>
      </c>
      <c r="AH138" s="605">
        <v>235</v>
      </c>
      <c r="AI138" s="605">
        <v>235</v>
      </c>
      <c r="AJ138" s="605">
        <v>235</v>
      </c>
    </row>
    <row r="139" spans="31:36" x14ac:dyDescent="0.25">
      <c r="AE139" t="s">
        <v>679</v>
      </c>
      <c r="AF139" s="606">
        <v>0</v>
      </c>
      <c r="AG139" s="606">
        <v>1920</v>
      </c>
      <c r="AH139" s="606">
        <v>1920</v>
      </c>
      <c r="AI139" s="606">
        <v>1920</v>
      </c>
      <c r="AJ139" s="606">
        <v>1920</v>
      </c>
    </row>
  </sheetData>
  <sheetProtection algorithmName="SHA-512" hashValue="Qt7joRpOFkCBfjxodegpYQlakPeKj9p2I9g5VibkRtGXwJjSKfp8Sf2Zundm8qR/+LrHCtIXKk6D9CR5QLwjZA==" saltValue="htuAah0W89MJ8onxJQRlgQ==" spinCount="100000" sheet="1" selectLockedCell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7</vt:i4>
      </vt:variant>
      <vt:variant>
        <vt:lpstr>Benannte Bereiche</vt:lpstr>
      </vt:variant>
      <vt:variant>
        <vt:i4>19</vt:i4>
      </vt:variant>
    </vt:vector>
  </HeadingPairs>
  <TitlesOfParts>
    <vt:vector size="26" baseType="lpstr">
      <vt:lpstr>Startseite</vt:lpstr>
      <vt:lpstr>Kurzanleitung</vt:lpstr>
      <vt:lpstr>Basisprämie</vt:lpstr>
      <vt:lpstr>Öko-Regelungen</vt:lpstr>
      <vt:lpstr>HALM 2</vt:lpstr>
      <vt:lpstr>Übersicht</vt:lpstr>
      <vt:lpstr>SÜ</vt:lpstr>
      <vt:lpstr>Basisprämie!Druckbereich</vt:lpstr>
      <vt:lpstr>'HALM 2'!Druckbereich</vt:lpstr>
      <vt:lpstr>Kurzanleitung!Druckbereich</vt:lpstr>
      <vt:lpstr>'Öko-Regelungen'!Druckbereich</vt:lpstr>
      <vt:lpstr>Startseite!Druckbereich</vt:lpstr>
      <vt:lpstr>SÜ!Druckbereich</vt:lpstr>
      <vt:lpstr>Übersicht!Druckbereich</vt:lpstr>
      <vt:lpstr>'HALM 2'!Drucktitel</vt:lpstr>
      <vt:lpstr>GAPAusnV</vt:lpstr>
      <vt:lpstr>gloez8</vt:lpstr>
      <vt:lpstr>Jahr</vt:lpstr>
      <vt:lpstr>jundlandw</vt:lpstr>
      <vt:lpstr>milch</vt:lpstr>
      <vt:lpstr>RGV</vt:lpstr>
      <vt:lpstr>TN_OER2u4</vt:lpstr>
      <vt:lpstr>umstellung</vt:lpstr>
      <vt:lpstr>VKlegus</vt:lpstr>
      <vt:lpstr>wirtschaftsform</vt:lpstr>
      <vt:lpstr>ZWF_kulisse</vt:lpstr>
    </vt:vector>
  </TitlesOfParts>
  <Company>LLH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Rohde, Christoph (LLH);manuel.fraenzke@llh.hessen.de</dc:creator>
  <cp:lastModifiedBy>Fränzke, Manuel (LLH)</cp:lastModifiedBy>
  <cp:lastPrinted>2025-02-12T12:03:47Z</cp:lastPrinted>
  <dcterms:created xsi:type="dcterms:W3CDTF">2021-09-07T06:03:54Z</dcterms:created>
  <dcterms:modified xsi:type="dcterms:W3CDTF">2026-03-18T13:30:31Z</dcterms:modified>
</cp:coreProperties>
</file>