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DieseArbeitsmappe"/>
  <mc:AlternateContent xmlns:mc="http://schemas.openxmlformats.org/markup-compatibility/2006">
    <mc:Choice Requires="x15">
      <x15ac:absPath xmlns:x15ac="http://schemas.microsoft.com/office/spreadsheetml/2010/11/ac" url="V:\0-Leitung_und_Organisation\011-Leitung_Fachgebiet_Beratungsteam_Oekonomie_und_Verfahrentechnik\01-Allgemein\2026 - AFP\"/>
    </mc:Choice>
  </mc:AlternateContent>
  <xr:revisionPtr revIDLastSave="0" documentId="13_ncr:1_{956071AB-630E-4EE0-9CEF-7FCCC23FEBFB}" xr6:coauthVersionLast="47" xr6:coauthVersionMax="47" xr10:uidLastSave="{00000000-0000-0000-0000-000000000000}"/>
  <bookViews>
    <workbookView xWindow="-120" yWindow="-120" windowWidth="29040" windowHeight="15720" tabRatio="856" xr2:uid="{00000000-000D-0000-FFFF-FFFF00000000}"/>
  </bookViews>
  <sheets>
    <sheet name="Übersicht" sheetId="1" r:id="rId1"/>
    <sheet name="Eingabemaske Rindvieh" sheetId="2" r:id="rId2"/>
    <sheet name="Rindvieh nach DüVO" sheetId="3" r:id="rId3"/>
    <sheet name="Rindvieh nach VLK" sheetId="4" state="hidden" r:id="rId4"/>
    <sheet name="Schweine" sheetId="5" r:id="rId5"/>
    <sheet name="Pferde" sheetId="6" state="hidden" r:id="rId6"/>
    <sheet name="Geflügel" sheetId="7" state="hidden" r:id="rId7"/>
    <sheet name="Schafe" sheetId="8" state="hidden" r:id="rId8"/>
    <sheet name="Sonstige Abwässer" sheetId="9" r:id="rId9"/>
    <sheet name="vorh. Güllelager" sheetId="10" state="hidden" r:id="rId10"/>
    <sheet name="geplante Güllelager" sheetId="11" state="hidden" r:id="rId11"/>
    <sheet name="Festmistlager" sheetId="12" state="hidden" r:id="rId12"/>
    <sheet name="Niederschläge" sheetId="13" r:id="rId13"/>
    <sheet name="Gebrauchsanweisung" sheetId="14" r:id="rId14"/>
  </sheets>
  <externalReferences>
    <externalReference r:id="rId15"/>
    <externalReference r:id="rId16"/>
  </externalReferences>
  <definedNames>
    <definedName name="\b">[1]Übersichtstabelle!#REF!</definedName>
    <definedName name="\bb">[1]Übersichtstabelle!#REF!</definedName>
    <definedName name="Anschleppung">#REF!</definedName>
    <definedName name="Binderabstand">#REF!</definedName>
    <definedName name="Dachneigung">#REF!</definedName>
    <definedName name="Deckblatt_Lösch">[2]Deckblatt!$C$4:$F$6,[2]Deckblatt!$C$7,[2]Deckblatt!$H$4,[2]Deckblatt!$H$5,[2]Deckblatt!$G$7,[2]Deckblatt!$G$9,[2]Deckblatt!$D$9,[2]Deckblatt!$C$11,[2]Deckblatt!$C$22,[2]Deckblatt!$H$22,[2]Deckblatt!$C$23,[2]Deckblatt!$H$23,[2]Deckblatt!$C$24,[2]Deckblatt!$D$24,[2]Deckblatt!$C$25,[2]Deckblatt!$G$25,[2]Deckblatt!$C$29,[2]Deckblatt!$C$15</definedName>
    <definedName name="_xlnm.Print_Area" localSheetId="1">'Eingabemaske Rindvieh'!$A$1:$G$26</definedName>
    <definedName name="_xlnm.Print_Area" localSheetId="11">Festmistlager!$A$1:$K$32</definedName>
    <definedName name="_xlnm.Print_Area" localSheetId="6">Geflügel!$A$1:$E$21</definedName>
    <definedName name="_xlnm.Print_Area" localSheetId="10">'geplante Güllelager'!$A$1:$O$34</definedName>
    <definedName name="_xlnm.Print_Area" localSheetId="5">Pferde!$A$1:$R$22</definedName>
    <definedName name="_xlnm.Print_Area" localSheetId="2">'Rindvieh nach DüVO'!$A$1:$S$27</definedName>
    <definedName name="_xlnm.Print_Area" localSheetId="3">'Rindvieh nach VLK'!$A$1:$S$28</definedName>
    <definedName name="_xlnm.Print_Area" localSheetId="7">Schafe!$A$1:$G$23</definedName>
    <definedName name="_xlnm.Print_Area" localSheetId="4">Schweine!$A$1:$T$23</definedName>
    <definedName name="_xlnm.Print_Area" localSheetId="8">'Sonstige Abwässer'!$A$1:$G$30</definedName>
    <definedName name="_xlnm.Print_Area" localSheetId="0">Übersicht!$A$1:$P$33</definedName>
    <definedName name="_xlnm.Print_Area" localSheetId="9">'vorh. Güllelager'!$A$1:$N$32</definedName>
    <definedName name="GüllelagerQuer_Lösch">'[2]Güllelager-Quervergleich'!$B$18:$D$21,'[2]Güllelager-Quervergleich'!$F$18:$F$21,'[2]Güllelager-Quervergleich'!$H$18:$H$21,'[2]Güllelager-Quervergleich'!$K$18:$L$21,'[2]Güllelager-Quervergleich'!$K$27:$M$51,'[2]Güllelager-Quervergleich'!$G$27:$G$51,'[2]Güllelager-Quervergleich'!$B$27:$E$51,'[2]Güllelager-Quervergleich'!$B$53:$G$55,'[2]Güllelager-Quervergleich'!$K$53:$K$55,'[2]Güllelager-Quervergleich'!$M$53:$M$55,'[2]Güllelager-Quervergleich'!$I$60:$I$61,'[2]Güllelager-Quervergleich'!$I$68,'[2]Güllelager-Quervergleich'!$G$70,'[2]Güllelager-Quervergleich'!$C$76:$I$96</definedName>
    <definedName name="Hallenbreite">#REF!</definedName>
    <definedName name="Hallenlänge">#REF!</definedName>
    <definedName name="LagerBetrieb_Lösch">#REF!,#REF!,#REF!,#REF!,#REF!,#REF!,#REF!,#REF!,#REF!,#REF!,#REF!,#REF!,#REF!,#REF!,#REF!</definedName>
    <definedName name="Torbreite1">#REF!</definedName>
    <definedName name="Torbreite2">#REF!</definedName>
    <definedName name="torbreite3">#REF!</definedName>
    <definedName name="torhöhe1">#REF!</definedName>
    <definedName name="torhöhe2">#REF!</definedName>
    <definedName name="Torhöhe3">#REF!</definedName>
    <definedName name="Traufenhöhe">#REF!</definedName>
    <definedName name="Traufenhöhe2">#REF!</definedName>
    <definedName name="Wandhöhemassiv">#REF!</definedName>
  </definedName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1" i="2" l="1"/>
  <c r="J28" i="12"/>
  <c r="I28" i="12"/>
  <c r="J27" i="12"/>
  <c r="I27" i="12"/>
  <c r="J26" i="12"/>
  <c r="I26" i="12"/>
  <c r="J25" i="12"/>
  <c r="I25" i="12"/>
  <c r="J24" i="12"/>
  <c r="I24" i="12"/>
  <c r="J23" i="12"/>
  <c r="J29" i="12" s="1"/>
  <c r="I23" i="12"/>
  <c r="J17" i="12"/>
  <c r="I17" i="12"/>
  <c r="J16" i="12"/>
  <c r="I16" i="12"/>
  <c r="J15" i="12"/>
  <c r="I15" i="12"/>
  <c r="J14" i="12"/>
  <c r="I14" i="12"/>
  <c r="J13" i="12"/>
  <c r="I13" i="12"/>
  <c r="J12" i="12"/>
  <c r="I12" i="12"/>
  <c r="J11" i="12"/>
  <c r="I11" i="12"/>
  <c r="C6" i="12"/>
  <c r="C5" i="12"/>
  <c r="N31" i="11"/>
  <c r="J31" i="11"/>
  <c r="K31" i="11" s="1"/>
  <c r="O31" i="11" s="1"/>
  <c r="I31" i="11"/>
  <c r="N30" i="11"/>
  <c r="J30" i="11"/>
  <c r="K30" i="11" s="1"/>
  <c r="O30" i="11" s="1"/>
  <c r="I30" i="11"/>
  <c r="Q29" i="11"/>
  <c r="N29" i="11"/>
  <c r="J29" i="11"/>
  <c r="K29" i="11" s="1"/>
  <c r="O29" i="11" s="1"/>
  <c r="I29" i="11"/>
  <c r="M22" i="11"/>
  <c r="L22" i="11"/>
  <c r="N22" i="11" s="1"/>
  <c r="O22" i="11" s="1"/>
  <c r="O24" i="11" s="1"/>
  <c r="M15" i="11"/>
  <c r="L15" i="11"/>
  <c r="N15" i="11" s="1"/>
  <c r="O15" i="11" s="1"/>
  <c r="M14" i="11"/>
  <c r="L14" i="11"/>
  <c r="N14" i="11" s="1"/>
  <c r="O14" i="11" s="1"/>
  <c r="M13" i="11"/>
  <c r="L13" i="11"/>
  <c r="N13" i="11" s="1"/>
  <c r="O13" i="11" s="1"/>
  <c r="M12" i="11"/>
  <c r="L12" i="11"/>
  <c r="N12" i="11" s="1"/>
  <c r="O12" i="11" s="1"/>
  <c r="C5" i="11"/>
  <c r="C4" i="11"/>
  <c r="L30" i="10"/>
  <c r="K30" i="10"/>
  <c r="M30" i="10" s="1"/>
  <c r="N30" i="10" s="1"/>
  <c r="N32" i="10" s="1"/>
  <c r="I25" i="10"/>
  <c r="I24" i="10"/>
  <c r="I23" i="10"/>
  <c r="L23" i="10" s="1"/>
  <c r="M23" i="10" s="1"/>
  <c r="I22" i="10"/>
  <c r="L22" i="10" s="1"/>
  <c r="M22" i="10" s="1"/>
  <c r="I21" i="10"/>
  <c r="L21" i="10" s="1"/>
  <c r="M21" i="10" s="1"/>
  <c r="I20" i="10"/>
  <c r="L20" i="10" s="1"/>
  <c r="M20" i="10" s="1"/>
  <c r="I19" i="10"/>
  <c r="L19" i="10" s="1"/>
  <c r="M19" i="10" s="1"/>
  <c r="K14" i="10"/>
  <c r="I14" i="10"/>
  <c r="L14" i="10" s="1"/>
  <c r="M14" i="10" s="1"/>
  <c r="K13" i="10"/>
  <c r="I13" i="10"/>
  <c r="L13" i="10" s="1"/>
  <c r="M13" i="10" s="1"/>
  <c r="K12" i="10"/>
  <c r="I12" i="10"/>
  <c r="K11" i="10"/>
  <c r="I11" i="10"/>
  <c r="L11" i="10" s="1"/>
  <c r="M11" i="10" s="1"/>
  <c r="K10" i="10"/>
  <c r="I10" i="10"/>
  <c r="L10" i="10" s="1"/>
  <c r="M10" i="10" s="1"/>
  <c r="D5" i="10"/>
  <c r="D4" i="10"/>
  <c r="E15" i="9"/>
  <c r="C7" i="9"/>
  <c r="C6" i="9"/>
  <c r="G18" i="8"/>
  <c r="G17" i="8"/>
  <c r="F16" i="8"/>
  <c r="G16" i="8" s="1"/>
  <c r="E16" i="8"/>
  <c r="F15" i="8"/>
  <c r="G15" i="8" s="1"/>
  <c r="E15" i="8"/>
  <c r="F14" i="8"/>
  <c r="G14" i="8" s="1"/>
  <c r="E14" i="8"/>
  <c r="F13" i="8"/>
  <c r="E13" i="8"/>
  <c r="F12" i="8"/>
  <c r="G12" i="8" s="1"/>
  <c r="E12" i="8"/>
  <c r="F11" i="8"/>
  <c r="G11" i="8" s="1"/>
  <c r="E11" i="8"/>
  <c r="F10" i="8"/>
  <c r="G10" i="8" s="1"/>
  <c r="E10" i="8"/>
  <c r="B7" i="8"/>
  <c r="B6" i="8"/>
  <c r="D17" i="7"/>
  <c r="E17" i="7" s="1"/>
  <c r="D16" i="7"/>
  <c r="E16" i="7" s="1"/>
  <c r="D15" i="7"/>
  <c r="C15" i="7"/>
  <c r="D14" i="7"/>
  <c r="C14" i="7"/>
  <c r="D13" i="7"/>
  <c r="C13" i="7"/>
  <c r="D12" i="7"/>
  <c r="C12" i="7"/>
  <c r="E12" i="7" s="1"/>
  <c r="D11" i="7"/>
  <c r="C11" i="7"/>
  <c r="D10" i="7"/>
  <c r="C10" i="7"/>
  <c r="E10" i="7" s="1"/>
  <c r="B7" i="7"/>
  <c r="B6" i="7"/>
  <c r="Q14" i="6"/>
  <c r="R14" i="6" s="1"/>
  <c r="Q13" i="6"/>
  <c r="R13" i="6" s="1"/>
  <c r="Q12" i="6"/>
  <c r="R12" i="6" s="1"/>
  <c r="Q11" i="6"/>
  <c r="R11" i="6" s="1"/>
  <c r="B6" i="6"/>
  <c r="B5" i="6"/>
  <c r="P20" i="5"/>
  <c r="N20" i="5"/>
  <c r="K20" i="5"/>
  <c r="G20" i="5"/>
  <c r="P19" i="5"/>
  <c r="N19" i="5"/>
  <c r="K19" i="5"/>
  <c r="G19" i="5"/>
  <c r="P18" i="5"/>
  <c r="N18" i="5"/>
  <c r="K18" i="5"/>
  <c r="G18" i="5"/>
  <c r="P17" i="5"/>
  <c r="N17" i="5"/>
  <c r="K17" i="5"/>
  <c r="G17" i="5"/>
  <c r="P16" i="5"/>
  <c r="N16" i="5"/>
  <c r="K16" i="5"/>
  <c r="G16" i="5"/>
  <c r="P15" i="5"/>
  <c r="N15" i="5"/>
  <c r="K15" i="5"/>
  <c r="G15" i="5"/>
  <c r="P14" i="5"/>
  <c r="N14" i="5"/>
  <c r="K14" i="5"/>
  <c r="T14" i="5" s="1"/>
  <c r="G14" i="5"/>
  <c r="Q13" i="5"/>
  <c r="P13" i="5"/>
  <c r="N13" i="5"/>
  <c r="K13" i="5"/>
  <c r="G13" i="5"/>
  <c r="P12" i="5"/>
  <c r="N12" i="5"/>
  <c r="K12" i="5"/>
  <c r="G12" i="5"/>
  <c r="R11" i="5"/>
  <c r="R19" i="5" s="1"/>
  <c r="Q11" i="5"/>
  <c r="Q20" i="5" s="1"/>
  <c r="P11" i="5"/>
  <c r="N11" i="5"/>
  <c r="K11" i="5"/>
  <c r="G11" i="5"/>
  <c r="D7" i="5"/>
  <c r="D6" i="5"/>
  <c r="C23" i="4"/>
  <c r="B23" i="4"/>
  <c r="C22" i="4"/>
  <c r="B22" i="4"/>
  <c r="O21" i="4"/>
  <c r="N21" i="4"/>
  <c r="M21" i="4"/>
  <c r="L21" i="4"/>
  <c r="K21" i="4"/>
  <c r="I21" i="4"/>
  <c r="G21" i="4"/>
  <c r="F21" i="4"/>
  <c r="E21" i="4"/>
  <c r="D21" i="4"/>
  <c r="C21" i="4"/>
  <c r="B21" i="4"/>
  <c r="O20" i="4"/>
  <c r="N20" i="4"/>
  <c r="M20" i="4"/>
  <c r="L20" i="4"/>
  <c r="K20" i="4"/>
  <c r="J20" i="4"/>
  <c r="I20" i="4"/>
  <c r="F20" i="4" s="1"/>
  <c r="G20" i="4"/>
  <c r="E20" i="4"/>
  <c r="D20" i="4"/>
  <c r="C20" i="4"/>
  <c r="B20" i="4"/>
  <c r="O19" i="4"/>
  <c r="N19" i="4"/>
  <c r="M19" i="4"/>
  <c r="L19" i="4"/>
  <c r="K19" i="4"/>
  <c r="J19" i="4"/>
  <c r="I19" i="4"/>
  <c r="G19" i="4"/>
  <c r="F19" i="4"/>
  <c r="D19" i="4"/>
  <c r="C19" i="4"/>
  <c r="B19" i="4"/>
  <c r="O18" i="4"/>
  <c r="N18" i="4"/>
  <c r="M18" i="4"/>
  <c r="L18" i="4"/>
  <c r="K18" i="4"/>
  <c r="J18" i="4"/>
  <c r="I18" i="4"/>
  <c r="F18" i="4" s="1"/>
  <c r="G18" i="4"/>
  <c r="E18" i="4"/>
  <c r="D18" i="4"/>
  <c r="C18" i="4"/>
  <c r="B18" i="4"/>
  <c r="O17" i="4"/>
  <c r="N17" i="4"/>
  <c r="M17" i="4"/>
  <c r="L17" i="4"/>
  <c r="K17" i="4"/>
  <c r="J17" i="4"/>
  <c r="I17" i="4"/>
  <c r="F17" i="4" s="1"/>
  <c r="G17" i="4"/>
  <c r="D17" i="4"/>
  <c r="C17" i="4"/>
  <c r="E17" i="4" s="1"/>
  <c r="B17" i="4"/>
  <c r="O16" i="4"/>
  <c r="N16" i="4"/>
  <c r="M16" i="4"/>
  <c r="L16" i="4"/>
  <c r="K16" i="4"/>
  <c r="J16" i="4"/>
  <c r="I16" i="4"/>
  <c r="G16" i="4"/>
  <c r="F16" i="4"/>
  <c r="D16" i="4"/>
  <c r="C16" i="4"/>
  <c r="E16" i="4" s="1"/>
  <c r="B16" i="4"/>
  <c r="O15" i="4"/>
  <c r="N15" i="4"/>
  <c r="M15" i="4"/>
  <c r="L15" i="4"/>
  <c r="K15" i="4"/>
  <c r="J15" i="4"/>
  <c r="I15" i="4"/>
  <c r="F15" i="4" s="1"/>
  <c r="G15" i="4"/>
  <c r="E15" i="4"/>
  <c r="D15" i="4"/>
  <c r="C15" i="4"/>
  <c r="B15" i="4"/>
  <c r="O14" i="4"/>
  <c r="N14" i="4"/>
  <c r="M14" i="4"/>
  <c r="L14" i="4"/>
  <c r="K14" i="4"/>
  <c r="J14" i="4"/>
  <c r="I14" i="4"/>
  <c r="G14" i="4"/>
  <c r="F14" i="4"/>
  <c r="E14" i="4"/>
  <c r="D14" i="4"/>
  <c r="C14" i="4"/>
  <c r="O13" i="4"/>
  <c r="N13" i="4"/>
  <c r="M13" i="4"/>
  <c r="L13" i="4"/>
  <c r="K13" i="4"/>
  <c r="J13" i="4"/>
  <c r="I13" i="4"/>
  <c r="G13" i="4"/>
  <c r="F13" i="4"/>
  <c r="E13" i="4"/>
  <c r="D13" i="4"/>
  <c r="B13" i="4"/>
  <c r="O12" i="4"/>
  <c r="N12" i="4"/>
  <c r="M12" i="4"/>
  <c r="L12" i="4"/>
  <c r="K12" i="4"/>
  <c r="J12" i="4"/>
  <c r="I12" i="4"/>
  <c r="F12" i="4" s="1"/>
  <c r="G12" i="4"/>
  <c r="E12" i="4"/>
  <c r="D12" i="4"/>
  <c r="B12" i="4"/>
  <c r="Q11" i="4"/>
  <c r="Q22" i="4" s="1"/>
  <c r="P11" i="4"/>
  <c r="O11" i="4"/>
  <c r="N11" i="4"/>
  <c r="M11" i="4"/>
  <c r="L11" i="4"/>
  <c r="K11" i="4"/>
  <c r="J11" i="4"/>
  <c r="I11" i="4"/>
  <c r="G11" i="4"/>
  <c r="F11" i="4"/>
  <c r="E11" i="4"/>
  <c r="D11" i="4"/>
  <c r="B11" i="4"/>
  <c r="B6" i="4"/>
  <c r="B5" i="4"/>
  <c r="B23" i="3"/>
  <c r="B22" i="3"/>
  <c r="M21" i="3"/>
  <c r="J21" i="3"/>
  <c r="D21" i="3"/>
  <c r="M20" i="3"/>
  <c r="J20" i="3"/>
  <c r="G20" i="3"/>
  <c r="D20" i="3"/>
  <c r="B20" i="3"/>
  <c r="M19" i="3"/>
  <c r="J19" i="3"/>
  <c r="G19" i="3"/>
  <c r="D19" i="3"/>
  <c r="B19" i="3"/>
  <c r="M18" i="3"/>
  <c r="J18" i="3"/>
  <c r="G18" i="3"/>
  <c r="D18" i="3"/>
  <c r="B18" i="3"/>
  <c r="M17" i="3"/>
  <c r="J17" i="3"/>
  <c r="G17" i="3"/>
  <c r="D17" i="3"/>
  <c r="B17" i="3"/>
  <c r="M16" i="3"/>
  <c r="J16" i="3"/>
  <c r="G16" i="3"/>
  <c r="D16" i="3"/>
  <c r="B16" i="3"/>
  <c r="M15" i="3"/>
  <c r="J15" i="3"/>
  <c r="G15" i="3"/>
  <c r="D15" i="3"/>
  <c r="B15" i="3"/>
  <c r="M14" i="3"/>
  <c r="J14" i="3"/>
  <c r="G14" i="3"/>
  <c r="D14" i="3"/>
  <c r="M13" i="3"/>
  <c r="J13" i="3"/>
  <c r="G13" i="3"/>
  <c r="D13" i="3"/>
  <c r="B13" i="3"/>
  <c r="M12" i="3"/>
  <c r="J12" i="3"/>
  <c r="G12" i="3"/>
  <c r="D12" i="3"/>
  <c r="B12" i="3"/>
  <c r="Q11" i="3"/>
  <c r="Q22" i="3" s="1"/>
  <c r="P11" i="3"/>
  <c r="P19" i="3" s="1"/>
  <c r="M11" i="3"/>
  <c r="J11" i="3"/>
  <c r="G11" i="3"/>
  <c r="D11" i="3"/>
  <c r="B11" i="3"/>
  <c r="B6" i="3"/>
  <c r="B5" i="3"/>
  <c r="F23" i="2"/>
  <c r="E23" i="2"/>
  <c r="D23" i="2"/>
  <c r="C23" i="2"/>
  <c r="B23" i="2"/>
  <c r="B24" i="2" s="1"/>
  <c r="B6" i="2"/>
  <c r="B5" i="2"/>
  <c r="H12" i="1"/>
  <c r="E13" i="9" s="1"/>
  <c r="G12" i="1"/>
  <c r="E7" i="1"/>
  <c r="E13" i="7" l="1"/>
  <c r="S11" i="5"/>
  <c r="Q21" i="4"/>
  <c r="E11" i="7"/>
  <c r="I29" i="12"/>
  <c r="R12" i="3"/>
  <c r="P16" i="3"/>
  <c r="P14" i="3"/>
  <c r="Q16" i="3"/>
  <c r="Q20" i="3"/>
  <c r="R11" i="3"/>
  <c r="P12" i="3"/>
  <c r="R15" i="3"/>
  <c r="R16" i="3"/>
  <c r="R21" i="3"/>
  <c r="S11" i="3"/>
  <c r="S15" i="3"/>
  <c r="R17" i="3"/>
  <c r="S19" i="3"/>
  <c r="S21" i="3"/>
  <c r="R13" i="3"/>
  <c r="S17" i="3"/>
  <c r="S13" i="3"/>
  <c r="P20" i="3"/>
  <c r="P18" i="3"/>
  <c r="R19" i="3"/>
  <c r="Q12" i="3"/>
  <c r="R24" i="4"/>
  <c r="R17" i="4"/>
  <c r="S21" i="4"/>
  <c r="R22" i="4"/>
  <c r="S17" i="5"/>
  <c r="P19" i="4"/>
  <c r="S20" i="5"/>
  <c r="R15" i="4"/>
  <c r="S15" i="5"/>
  <c r="R20" i="3"/>
  <c r="P23" i="3"/>
  <c r="S13" i="5"/>
  <c r="S20" i="4"/>
  <c r="S18" i="5"/>
  <c r="S18" i="4"/>
  <c r="R18" i="3"/>
  <c r="P22" i="3"/>
  <c r="S16" i="5"/>
  <c r="S19" i="5"/>
  <c r="E15" i="7"/>
  <c r="G13" i="8"/>
  <c r="G19" i="8" s="1"/>
  <c r="L12" i="10"/>
  <c r="M12" i="10" s="1"/>
  <c r="M26" i="10" s="1"/>
  <c r="T17" i="5"/>
  <c r="T20" i="5"/>
  <c r="Q12" i="4"/>
  <c r="Q13" i="4"/>
  <c r="R23" i="4"/>
  <c r="T12" i="5"/>
  <c r="R14" i="5"/>
  <c r="S11" i="4"/>
  <c r="S12" i="4"/>
  <c r="Q14" i="4"/>
  <c r="S14" i="4"/>
  <c r="Q15" i="4"/>
  <c r="Q23" i="4"/>
  <c r="T15" i="5"/>
  <c r="T18" i="5"/>
  <c r="Q16" i="4"/>
  <c r="Q17" i="4"/>
  <c r="R22" i="3"/>
  <c r="Q18" i="4"/>
  <c r="T13" i="5"/>
  <c r="S16" i="3"/>
  <c r="R15" i="6"/>
  <c r="I18" i="12"/>
  <c r="C19" i="1" s="1"/>
  <c r="S12" i="3"/>
  <c r="S14" i="3"/>
  <c r="S18" i="3"/>
  <c r="S20" i="3"/>
  <c r="R23" i="3"/>
  <c r="S16" i="4"/>
  <c r="Q19" i="4"/>
  <c r="T11" i="5"/>
  <c r="T16" i="5"/>
  <c r="T19" i="5"/>
  <c r="S15" i="4"/>
  <c r="S19" i="4"/>
  <c r="Q20" i="4"/>
  <c r="E14" i="7"/>
  <c r="J18" i="12"/>
  <c r="S13" i="4"/>
  <c r="R18" i="4"/>
  <c r="R21" i="4"/>
  <c r="P21" i="4"/>
  <c r="R11" i="4"/>
  <c r="R12" i="4"/>
  <c r="R13" i="4"/>
  <c r="P13" i="4"/>
  <c r="Q16" i="5"/>
  <c r="S14" i="5"/>
  <c r="Q19" i="5"/>
  <c r="S12" i="5"/>
  <c r="P16" i="4"/>
  <c r="S17" i="4"/>
  <c r="O18" i="11"/>
  <c r="O32" i="11"/>
  <c r="R16" i="4"/>
  <c r="R20" i="5"/>
  <c r="Q15" i="3"/>
  <c r="Q19" i="3"/>
  <c r="P12" i="4"/>
  <c r="P17" i="4"/>
  <c r="E19" i="4"/>
  <c r="R19" i="4" s="1"/>
  <c r="Q14" i="3"/>
  <c r="Q18" i="3"/>
  <c r="Q23" i="3"/>
  <c r="P22" i="4"/>
  <c r="P15" i="4"/>
  <c r="Q12" i="5"/>
  <c r="Q15" i="5"/>
  <c r="Q18" i="5"/>
  <c r="P13" i="3"/>
  <c r="P17" i="3"/>
  <c r="P21" i="3"/>
  <c r="R24" i="3"/>
  <c r="P20" i="4"/>
  <c r="R12" i="5"/>
  <c r="R15" i="5"/>
  <c r="R18" i="5"/>
  <c r="Q13" i="3"/>
  <c r="Q17" i="3"/>
  <c r="Q21" i="3"/>
  <c r="E12" i="9"/>
  <c r="E16" i="9" s="1"/>
  <c r="C18" i="1" s="1"/>
  <c r="P18" i="4"/>
  <c r="R20" i="4"/>
  <c r="P23" i="4"/>
  <c r="Q14" i="5"/>
  <c r="Q17" i="5"/>
  <c r="B14" i="4"/>
  <c r="R14" i="4" s="1"/>
  <c r="P15" i="3"/>
  <c r="P14" i="4"/>
  <c r="B14" i="3"/>
  <c r="R14" i="3" s="1"/>
  <c r="R17" i="5"/>
  <c r="R13" i="5"/>
  <c r="R16" i="5"/>
  <c r="E18" i="7" l="1"/>
  <c r="S21" i="5"/>
  <c r="C16" i="1" s="1"/>
  <c r="T21" i="5"/>
  <c r="S25" i="3"/>
  <c r="S25" i="4"/>
  <c r="R25" i="3"/>
  <c r="R25" i="4"/>
  <c r="C15" i="1" s="1"/>
  <c r="C19" i="12"/>
  <c r="O34" i="11"/>
  <c r="C20" i="1" l="1"/>
  <c r="C23" i="1" s="1"/>
  <c r="O26" i="11"/>
  <c r="L29" i="11" s="1"/>
  <c r="L30" i="11" l="1"/>
  <c r="L31" i="1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Nienhaus, Jürgen</author>
  </authors>
  <commentList>
    <comment ref="C11" authorId="0" shapeId="0" xr:uid="{00000000-0006-0000-0300-000001000000}">
      <text>
        <r>
          <rPr>
            <sz val="10"/>
            <rFont val="Arial"/>
            <family val="2"/>
          </rPr>
          <t>Anfallmengen Milchvieh aus Berechnungen LK NRW, Pries, Menke aus 2006</t>
        </r>
      </text>
    </comment>
    <comment ref="F11" authorId="0" shapeId="0" xr:uid="{00000000-0006-0000-0300-000002000000}">
      <text>
        <r>
          <rPr>
            <sz val="10"/>
            <rFont val="Arial"/>
            <family val="2"/>
          </rPr>
          <t>=20617/12/100/2
= Anfall Frischmist (nach Tab. 3.2-2 aus KTBL Heft 502) auf Monat runtergerechnet in [dt.]
Davon 50 %, weil 50 % Anfall im Fessbereich als Gülle</t>
        </r>
      </text>
    </comment>
    <comment ref="I11" authorId="0" shapeId="0" xr:uid="{00000000-0006-0000-0300-000003000000}">
      <text>
        <r>
          <rPr>
            <sz val="10"/>
            <rFont val="Arial"/>
            <family val="2"/>
          </rPr>
          <t xml:space="preserve">=21374/12/100
= Anfall Rottemist (nach Tab. 3.2-2 aus KTBL Heft 502) auf Monat untergerechnet in [dt.]
Einstreumenge wurde von 13,5 auf 17,5 kg erhöht um an den geringeren TM Gehalt im Kot und Harn nach Pries/ Menke anzupassen
</t>
        </r>
      </text>
    </comment>
    <comment ref="K11" authorId="0" shapeId="0" xr:uid="{00000000-0006-0000-0300-000004000000}">
      <text>
        <r>
          <rPr>
            <sz val="10"/>
            <rFont val="Arial"/>
            <family val="2"/>
          </rPr>
          <t xml:space="preserve">=9580/12/1000
Anfall Jauche nach Tab. 3.2-2, 6.000 kg Kuh bei 4,0 kg Einstreu
</t>
        </r>
      </text>
    </comment>
    <comment ref="L11" authorId="0" shapeId="0" xr:uid="{00000000-0006-0000-0300-000005000000}">
      <text>
        <r>
          <rPr>
            <sz val="10"/>
            <rFont val="Arial"/>
            <family val="2"/>
          </rPr>
          <t xml:space="preserve">=9492/12/100
= Anfall Rottemist (nach Tab. 3.2-2 aus KTBL Heft 502) bei 4,0 kg Einstreu pro Tier und Tag 
auf Monat runtergerechnet in [dt.]
</t>
        </r>
      </text>
    </comment>
    <comment ref="N11" authorId="0" shapeId="0" xr:uid="{00000000-0006-0000-0300-000006000000}">
      <text>
        <r>
          <rPr>
            <sz val="10"/>
            <rFont val="Arial"/>
            <family val="2"/>
          </rPr>
          <t>=8069/12/1000
Jaucheanfall
 aus Tab. 3.2-2 aus KTBL 502 bei 7,0 kg Einstreu pro Tier und Tag mit Faktor 1,3 aus Berechnung Pries/Menke zur Anpassung der TM</t>
        </r>
      </text>
    </comment>
    <comment ref="O11" authorId="0" shapeId="0" xr:uid="{00000000-0006-0000-0300-000007000000}">
      <text>
        <r>
          <rPr>
            <sz val="10"/>
            <rFont val="Arial"/>
            <family val="2"/>
          </rPr>
          <t xml:space="preserve">=12498/12/100
Rottemistanfall aus Tab. 3.2-2
 aus KTBL 502 bei 7,0 kg Einstreu pro Tier und Tag mit Faktor 1,3 aus Berechnung Pries/Menke zur Anpassung der TM </t>
        </r>
      </text>
    </comment>
    <comment ref="C14" authorId="0" shapeId="0" xr:uid="{00000000-0006-0000-0300-000008000000}">
      <text>
        <r>
          <rPr>
            <sz val="10"/>
            <rFont val="Arial"/>
            <family val="2"/>
          </rPr>
          <t xml:space="preserve">Menge berechnet aus Tab. 3.1-1 mit TM Gehalt 8,5%
</t>
        </r>
      </text>
    </comment>
    <comment ref="F14" authorId="0" shapeId="0" xr:uid="{00000000-0006-0000-0300-000009000000}">
      <text>
        <r>
          <rPr>
            <sz val="10"/>
            <rFont val="Arial"/>
            <family val="2"/>
          </rPr>
          <t xml:space="preserve">=23855/12/100/2
= Anfall Frischmist (nach Tab. 3.2-1 aus KTBL Heft 502) auf Monat runtergerechnet in dt.
Davon 50 %, weil 50 % Anfall im Fessbereich als Gülle
Faktor12/27 aus Tab. 3.1-4 für Zeitraum 1-27 Monate
</t>
        </r>
      </text>
    </comment>
    <comment ref="I14" authorId="0" shapeId="0" xr:uid="{00000000-0006-0000-0300-00000A000000}">
      <text>
        <r>
          <rPr>
            <sz val="10"/>
            <rFont val="Arial"/>
            <family val="2"/>
          </rPr>
          <t xml:space="preserve">=24382/27
= Anfall Rottemist (nach Tab. 3.1-1 aus KTBL Heft 502)
bie 7,0 kg Einstreu
 auf Monat runtergerechnet in dt.
Faktor1/27 aus Tab. 3.1-4 für Zeitraum 1-27 Monate
</t>
        </r>
      </text>
    </comment>
    <comment ref="K14" authorId="0" shapeId="0" xr:uid="{00000000-0006-0000-0300-00000B000000}">
      <text>
        <r>
          <rPr>
            <sz val="10"/>
            <rFont val="Arial"/>
            <family val="2"/>
          </rPr>
          <t xml:space="preserve">bei 3,0 kg Einstreu pro Tier und Tag nach Tab. 3.1-1 aus KTBL Heft 502
9843/27/1000
</t>
        </r>
      </text>
    </comment>
    <comment ref="L14" authorId="0" shapeId="0" xr:uid="{00000000-0006-0000-0300-00000C000000}">
      <text>
        <r>
          <rPr>
            <sz val="10"/>
            <rFont val="Arial"/>
            <family val="2"/>
          </rPr>
          <t>=12302/27/100
= Anfall Rottemist (nach Tab. 3.1-1 aus KTBL Heft 502) bei 3,0 kg Einstreu pro Tier und Tag 
auf Monat runtergerechnet in [dt.]</t>
        </r>
      </text>
    </comment>
    <comment ref="N14" authorId="0" shapeId="0" xr:uid="{00000000-0006-0000-0300-00000D000000}">
      <text>
        <r>
          <rPr>
            <sz val="10"/>
            <rFont val="Arial"/>
            <family val="2"/>
          </rPr>
          <t>bei 5,0 kg Einstreu pro Tier und Tag nach Tab. 3.1-1 aus KTBL Heft 502
7580/27/1000</t>
        </r>
      </text>
    </comment>
    <comment ref="O14" authorId="0" shapeId="0" xr:uid="{00000000-0006-0000-0300-00000E000000}">
      <text>
        <r>
          <rPr>
            <sz val="10"/>
            <rFont val="Arial"/>
            <family val="2"/>
          </rPr>
          <t xml:space="preserve">=17087/27/100
= Anfall Rottemist (nach Tab. 3.1-1 aus KTBL Heft 502) bei 5,0 kg Einstreu pro Tier und Tag 
auf Monat runtergerechnet in [dt.]
</t>
        </r>
      </text>
    </comment>
    <comment ref="F15" authorId="0" shapeId="0" xr:uid="{00000000-0006-0000-0300-00000F000000}">
      <text>
        <r>
          <rPr>
            <sz val="10"/>
            <rFont val="Arial"/>
            <family val="2"/>
          </rPr>
          <t>=24382/12/100/2
= Anfall Rotte
mist (nach Tab. 3.1-1 aus KTBL Heft 502) auf Monat runtergerechnet in dt.
Davon 50 %, weil 50 % Anfall im Fessbereich als Gülle
Faktor 0,1 aus Tab. 3.1-4 für Zeitraum 1-6 Monate</t>
        </r>
      </text>
    </comment>
    <comment ref="I15" authorId="0" shapeId="0" xr:uid="{00000000-0006-0000-0300-000010000000}">
      <text>
        <r>
          <rPr>
            <sz val="10"/>
            <rFont val="Arial"/>
            <family val="2"/>
          </rPr>
          <t xml:space="preserve">=24382*0,1/6/100
= Anfall Rottemist (nach Tab. 3.1-1 aus KTBL Heft 502) auf Monat runtergerechnet in dt.
Faktor 0,1 aus Tab. 3.1-4 für Zeitraum 1-6 Monate, auf 4 Monate korrigiert
</t>
        </r>
      </text>
    </comment>
    <comment ref="L15" authorId="0" shapeId="0" xr:uid="{00000000-0006-0000-0300-000011000000}">
      <text>
        <r>
          <rPr>
            <sz val="10"/>
            <rFont val="Arial"/>
            <family val="2"/>
          </rPr>
          <t>=12302*0,1/6/100
= Anfall Rottemist (nach Tab. 3.1-1 aus KTBL Heft 502) auf Monat runtergerechnet in dt. bei 3,0 kg Einstreu pro Tier und Tag
Faktor 0,1 aus Tab. 3.1-4 für Zeitraum 1-6 Monate</t>
        </r>
      </text>
    </comment>
    <comment ref="O15" authorId="0" shapeId="0" xr:uid="{00000000-0006-0000-0300-000012000000}">
      <text>
        <r>
          <rPr>
            <sz val="10"/>
            <rFont val="Arial"/>
            <family val="2"/>
          </rPr>
          <t xml:space="preserve">=17087*0,1/6/100
= Anfall Rottemist (nach Tab. 3.1-1 aus KTBL Heft 502) auf Monat runtergerechnet in dt. bei 5,0 kg Einstreu pro Tier und Tag
Faktor 0,1 aus Tab. 3.1-4 für Zeitraum 1-6 Monate, korrigiert auf 4 Monate
</t>
        </r>
      </text>
    </comment>
    <comment ref="C16" authorId="0" shapeId="0" xr:uid="{00000000-0006-0000-0300-000013000000}">
      <text>
        <r>
          <rPr>
            <sz val="10"/>
            <rFont val="Arial"/>
            <family val="2"/>
          </rPr>
          <t xml:space="preserve">Tab. 3.3-1
1/18 des Tabellenwertes für 1 Monat
mit TM Gehalt 8,5%
</t>
        </r>
      </text>
    </comment>
    <comment ref="I16" authorId="0" shapeId="0" xr:uid="{00000000-0006-0000-0300-000014000000}">
      <text>
        <r>
          <rPr>
            <sz val="10"/>
            <rFont val="Arial"/>
            <family val="2"/>
          </rPr>
          <t>Tab. 3.3-1
Rottemistanfall bei 2,7 kg Eisntreu pro Tier und Tag</t>
        </r>
      </text>
    </comment>
    <comment ref="K16" authorId="0" shapeId="0" xr:uid="{00000000-0006-0000-0300-000015000000}">
      <text>
        <r>
          <rPr>
            <sz val="10"/>
            <rFont val="Arial"/>
            <family val="2"/>
          </rPr>
          <t xml:space="preserve">Tab. 3.3-1
mit 1,0 kg Einstreu pro Tier und Tag
</t>
        </r>
      </text>
    </comment>
    <comment ref="L16" authorId="0" shapeId="0" xr:uid="{00000000-0006-0000-0300-000016000000}">
      <text>
        <r>
          <rPr>
            <sz val="10"/>
            <rFont val="Arial"/>
            <family val="2"/>
          </rPr>
          <t>Anfall Rottemist nachTab. 3.3-1 bei 1,0 kg Einstreu pro Tier und Tag</t>
        </r>
      </text>
    </comment>
    <comment ref="N16" authorId="0" shapeId="0" xr:uid="{00000000-0006-0000-0300-000017000000}">
      <text>
        <r>
          <rPr>
            <sz val="10"/>
            <rFont val="Arial"/>
            <family val="2"/>
          </rPr>
          <t xml:space="preserve">Tab. 3.3-1
mit 2,0 kg Einstreu pro Tier und Tag
</t>
        </r>
      </text>
    </comment>
    <comment ref="O16" authorId="0" shapeId="0" xr:uid="{00000000-0006-0000-0300-000018000000}">
      <text>
        <r>
          <rPr>
            <sz val="10"/>
            <rFont val="Arial"/>
            <family val="2"/>
          </rPr>
          <t>=5789/18/100
Rottemistanfall aus Tab. 3.3-1 aus KTBL 502 bei 2,0 kg Einstreu pro Tier und Tag</t>
        </r>
      </text>
    </comment>
    <comment ref="C17" authorId="0" shapeId="0" xr:uid="{00000000-0006-0000-0300-000019000000}">
      <text>
        <r>
          <rPr>
            <sz val="10"/>
            <rFont val="Arial"/>
            <family val="2"/>
          </rPr>
          <t xml:space="preserve">Tab. 3.3-2
1/18 des Tabellenwertes für 1 Monat
mit TM Gehalt 8,0%
</t>
        </r>
      </text>
    </comment>
    <comment ref="I17" authorId="0" shapeId="0" xr:uid="{00000000-0006-0000-0300-00001A000000}">
      <text>
        <r>
          <rPr>
            <sz val="10"/>
            <rFont val="Arial"/>
            <family val="2"/>
          </rPr>
          <t>Tab. 3.3-2
Rottemistanfall bei 2,5 kg Einstreu pro Tier und Tag</t>
        </r>
      </text>
    </comment>
    <comment ref="L17" authorId="0" shapeId="0" xr:uid="{00000000-0006-0000-0300-00001B000000}">
      <text>
        <r>
          <rPr>
            <sz val="10"/>
            <rFont val="Arial"/>
            <family val="2"/>
          </rPr>
          <t>Anfall Rottemist nachTab. 3.3-2 bei 1,0 kg Einstreu pro Tier und Tag</t>
        </r>
      </text>
    </comment>
    <comment ref="O17" authorId="0" shapeId="0" xr:uid="{00000000-0006-0000-0300-00001C000000}">
      <text>
        <r>
          <rPr>
            <sz val="10"/>
            <rFont val="Arial"/>
            <family val="2"/>
          </rPr>
          <t>=5789/18/100
Rottemistanfall aus Tab. 3.3-1 aus KTBL 502 bei 2,0 kg Einstreu pro Tier und Tag</t>
        </r>
      </text>
    </comment>
    <comment ref="I18" authorId="0" shapeId="0" xr:uid="{00000000-0006-0000-0300-00001D000000}">
      <text>
        <r>
          <rPr>
            <sz val="10"/>
            <rFont val="Arial"/>
            <family val="2"/>
          </rPr>
          <t>Tab. 3.3-2
Rottemistanfall bei 2,5 kg Einstreu pro Tier und Tag
multipliziert mit Faktor 0,9782 aus Tab. 3.3-3 Anteilfaktor Mast 80 - 700 kg</t>
        </r>
      </text>
    </comment>
    <comment ref="K18" authorId="0" shapeId="0" xr:uid="{00000000-0006-0000-0300-00001E000000}">
      <text>
        <r>
          <rPr>
            <sz val="10"/>
            <rFont val="Arial"/>
            <family val="2"/>
          </rPr>
          <t xml:space="preserve">Jaucheanfall aus Tab.3.3-2 , jedoch auf 16 Monate berechnet
</t>
        </r>
      </text>
    </comment>
    <comment ref="L18" authorId="0" shapeId="0" xr:uid="{00000000-0006-0000-0300-00001F000000}">
      <text>
        <r>
          <rPr>
            <sz val="10"/>
            <rFont val="Arial"/>
            <family val="2"/>
          </rPr>
          <t xml:space="preserve">Tab. 3.3-2
Rottemistanfall bei 1,0 kg Einstreu pro Tier und Tag
</t>
        </r>
      </text>
    </comment>
    <comment ref="O18" authorId="0" shapeId="0" xr:uid="{00000000-0006-0000-0300-000020000000}">
      <text>
        <r>
          <rPr>
            <sz val="10"/>
            <rFont val="Arial"/>
            <family val="2"/>
          </rPr>
          <t>=5789/16/100
Rottemistanfall aus Tab. 3.3-1 aus KTBL 502 bei 2,0 kg Einstreu pro Tier und Tag</t>
        </r>
      </text>
    </comment>
    <comment ref="I19" authorId="0" shapeId="0" xr:uid="{00000000-0006-0000-0300-000021000000}">
      <text>
        <r>
          <rPr>
            <sz val="10"/>
            <rFont val="Arial"/>
            <family val="2"/>
          </rPr>
          <t>Tab. 3.3-2
Rottemistanfall bei 2,5 kg Einstreu pro Tier und Tag
multipliziert mit Faktor 0,8753 aus Tab. 3.3-3 Anteilfaktor Mast 200 - 700 kg</t>
        </r>
      </text>
    </comment>
    <comment ref="K19" authorId="0" shapeId="0" xr:uid="{00000000-0006-0000-0300-000022000000}">
      <text>
        <r>
          <rPr>
            <sz val="10"/>
            <rFont val="Arial"/>
            <family val="2"/>
          </rPr>
          <t>Jaucheanfall aus Tab.3.3-2 , jedoch auf 12 Monate berechnet</t>
        </r>
      </text>
    </comment>
    <comment ref="L19" authorId="0" shapeId="0" xr:uid="{00000000-0006-0000-0300-000023000000}">
      <text>
        <r>
          <rPr>
            <sz val="10"/>
            <rFont val="Arial"/>
            <family val="2"/>
          </rPr>
          <t xml:space="preserve">Tab. 3.3-2
Rottemistanfall bei 1,0 kg Einstreu pro Tier und Tag
</t>
        </r>
      </text>
    </comment>
    <comment ref="O19" authorId="0" shapeId="0" xr:uid="{00000000-0006-0000-0300-000024000000}">
      <text>
        <r>
          <rPr>
            <sz val="10"/>
            <rFont val="Arial"/>
            <family val="2"/>
          </rPr>
          <t>=5789/12/100
Rottemistanfall aus Tab. 3.3-1 aus KTBL 502 bei 2,0 kg Einstreu pro Tier und Tag</t>
        </r>
      </text>
    </comment>
    <comment ref="C20" authorId="0" shapeId="0" xr:uid="{00000000-0006-0000-0300-000025000000}">
      <text>
        <r>
          <rPr>
            <sz val="10"/>
            <rFont val="Arial"/>
            <family val="2"/>
          </rPr>
          <t>Tab. 3.6-1
1/12 des Tabellenwertes für 1 Monat
mit TM Gehalt 7,5
%</t>
        </r>
      </text>
    </comment>
    <comment ref="I20" authorId="0" shapeId="0" xr:uid="{00000000-0006-0000-0300-000026000000}">
      <text>
        <r>
          <rPr>
            <sz val="10"/>
            <rFont val="Arial"/>
            <family val="2"/>
          </rPr>
          <t xml:space="preserve">=16310/12/100
= Anfall Rottemist bei 10 kg Einstreu pro Tier und Tag
 (nach Tab. 3.6-1 aus KTBL Heft 502) auf Monat runtergerechnet in dt.
</t>
        </r>
      </text>
    </comment>
    <comment ref="L20" authorId="0" shapeId="0" xr:uid="{00000000-0006-0000-0300-000027000000}">
      <text>
        <r>
          <rPr>
            <sz val="10"/>
            <rFont val="Arial"/>
            <family val="2"/>
          </rPr>
          <t>=8340/12/100
= Anfall Rottemist bei 4,0 kg Einstreu pro Tier und Tag (nach Tab. 3.6-1 aus KTBL Heft 502) auf Monat runtergerechnet in dt.</t>
        </r>
      </text>
    </comment>
    <comment ref="O20" authorId="0" shapeId="0" xr:uid="{00000000-0006-0000-0300-000028000000}">
      <text>
        <r>
          <rPr>
            <sz val="10"/>
            <rFont val="Arial"/>
            <family val="2"/>
          </rPr>
          <t>=10470/12/100
= Anfall Rottemist bei 6,0 kg Einstreu pro Tier und Tag (nach Tab. 3.6-1 aus KTBL Heft 502) auf Monat runtergerechnet in dt.</t>
        </r>
      </text>
    </comment>
    <comment ref="I21" authorId="0" shapeId="0" xr:uid="{00000000-0006-0000-0300-000029000000}">
      <text>
        <r>
          <rPr>
            <sz val="10"/>
            <rFont val="Arial"/>
            <family val="2"/>
          </rPr>
          <t>=18949/12/100
= Anfall Rottemist bei 12 kg Einstreu pro Tier un Tag
 (nach Tab. 3.6-2 aus KTBL Heft 502) auf Monat runtergerechnet in dt.</t>
        </r>
      </text>
    </comment>
    <comment ref="L21" authorId="0" shapeId="0" xr:uid="{00000000-0006-0000-0300-00002A000000}">
      <text>
        <r>
          <rPr>
            <sz val="10"/>
            <rFont val="Arial"/>
            <family val="2"/>
          </rPr>
          <t>=9888/12/100
= Anfall Frischmist bei 5,0 kg Einstreu pro Tier und Tag (nach Tab. 3.6-2 aus KTBL Heft 502) auf Monat runtergerechnet in [dt.]</t>
        </r>
      </text>
    </comment>
    <comment ref="O21" authorId="0" shapeId="0" xr:uid="{00000000-0006-0000-0300-00002B000000}">
      <text>
        <r>
          <rPr>
            <sz val="10"/>
            <rFont val="Arial"/>
            <family val="2"/>
          </rPr>
          <t>=12018/12/100
= Anfall Frischmist bei 7,0 kg Einstreu pro Tier und Tag (nach Tab. 3.6-1 aus KTBL Heft 502) auf Monat runtergerechnet in dt.</t>
        </r>
      </text>
    </comment>
    <comment ref="C22" authorId="0" shapeId="0" xr:uid="{00000000-0006-0000-0300-00002C000000}">
      <text>
        <r>
          <rPr>
            <sz val="10"/>
            <rFont val="Arial"/>
            <family val="2"/>
          </rPr>
          <t>Tab. 3.4-1
 für 1 Monat
mit TM Gehalt 7,5%</t>
        </r>
      </text>
    </comment>
    <comment ref="C23" authorId="0" shapeId="0" xr:uid="{00000000-0006-0000-0300-00002D000000}">
      <text>
        <r>
          <rPr>
            <sz val="10"/>
            <rFont val="Arial"/>
            <family val="2"/>
          </rPr>
          <t>Tab. 3.5-1
 für 1 Monat
mit TM Gehalt 5 %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Nienhaus, Jürgen</author>
  </authors>
  <commentList>
    <comment ref="C10" authorId="0" shapeId="0" xr:uid="{00000000-0006-0000-0600-000001000000}">
      <text>
        <r>
          <rPr>
            <sz val="10"/>
            <rFont val="Arial"/>
            <family val="2"/>
          </rPr>
          <t>Tab. 5.1.2-1 mit hoher Einstreu</t>
        </r>
      </text>
    </comment>
    <comment ref="C11" authorId="0" shapeId="0" xr:uid="{00000000-0006-0000-0600-000002000000}">
      <text>
        <r>
          <rPr>
            <sz val="10"/>
            <rFont val="Arial"/>
            <family val="2"/>
          </rPr>
          <t xml:space="preserve">Tab. 5.1.1-1 mit hoher Einstreu
</t>
        </r>
      </text>
    </comment>
    <comment ref="C12" authorId="0" shapeId="0" xr:uid="{00000000-0006-0000-0600-000003000000}">
      <text>
        <r>
          <rPr>
            <sz val="10"/>
            <rFont val="Arial"/>
            <family val="2"/>
          </rPr>
          <t>Nienhaus, Jürgen:
Tab. 5.2.1-3 mit hoher Einstreu</t>
        </r>
      </text>
    </comment>
    <comment ref="C13" authorId="0" shapeId="0" xr:uid="{00000000-0006-0000-0600-000004000000}">
      <text>
        <r>
          <rPr>
            <sz val="10"/>
            <rFont val="Arial"/>
            <family val="2"/>
          </rPr>
          <t xml:space="preserve">Nienhaus, Jürgen:
Tab. 5.2.1-5 mit hoher Einstreu
</t>
        </r>
      </text>
    </comment>
    <comment ref="C14" authorId="0" shapeId="0" xr:uid="{00000000-0006-0000-0600-000005000000}">
      <text>
        <r>
          <rPr>
            <sz val="10"/>
            <rFont val="Arial"/>
            <family val="2"/>
          </rPr>
          <t>Nienhaus, Jürgen:
Tab. 5.2.2-3 mit hoher Einstreu</t>
        </r>
      </text>
    </comment>
    <comment ref="C15" authorId="0" shapeId="0" xr:uid="{00000000-0006-0000-0600-000006000000}">
      <text>
        <r>
          <rPr>
            <sz val="10"/>
            <rFont val="Arial"/>
            <family val="2"/>
          </rPr>
          <t>Nienhaus, Jürgen:
Tab. 5.2.2-1 mit hoher Einstreu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jnienhaus</author>
  </authors>
  <commentList>
    <comment ref="O16" authorId="0" shapeId="0" xr:uid="{00000000-0006-0000-0A00-000001000000}">
      <text>
        <r>
          <rPr>
            <sz val="10"/>
            <rFont val="Arial"/>
            <family val="2"/>
          </rPr>
          <t>jnienhaus:
Freie Eingabe</t>
        </r>
      </text>
    </comment>
  </commentList>
</comments>
</file>

<file path=xl/sharedStrings.xml><?xml version="1.0" encoding="utf-8"?>
<sst xmlns="http://schemas.openxmlformats.org/spreadsheetml/2006/main" count="1989" uniqueCount="898">
  <si>
    <t>Berechnung nach:</t>
  </si>
  <si>
    <t>Bauherr:</t>
  </si>
  <si>
    <t>Bauvorhaben:</t>
  </si>
  <si>
    <t>Monate</t>
  </si>
  <si>
    <t>Jahresniederschläge:</t>
  </si>
  <si>
    <t>mm</t>
  </si>
  <si>
    <t>Eingabe nur in gelbe Felder</t>
  </si>
  <si>
    <t xml:space="preserve"> l je m²</t>
  </si>
  <si>
    <t>Lagervolumen Gülle/Jauche/Abwasser</t>
  </si>
  <si>
    <t>[m³]</t>
  </si>
  <si>
    <t>Rindvieh</t>
  </si>
  <si>
    <t>Schweine</t>
  </si>
  <si>
    <t>Sonstige Tiere</t>
  </si>
  <si>
    <t>sonstige Abwässer</t>
  </si>
  <si>
    <t>Niederschlagswasser von Festmistlagern</t>
  </si>
  <si>
    <t>Erläuterungen:</t>
  </si>
  <si>
    <t>Ort, Datum, Unterschrift</t>
  </si>
  <si>
    <t>Eingabeblatt  Rindvieh</t>
  </si>
  <si>
    <t>Anzahl Tiere je Haltungsverfahren</t>
  </si>
  <si>
    <t xml:space="preserve">Gülle            </t>
  </si>
  <si>
    <t>Tiefstreu-Zweiraum</t>
  </si>
  <si>
    <t>Tiefstreu - Einraum</t>
  </si>
  <si>
    <t>Anbindung/Festmist</t>
  </si>
  <si>
    <t>Tretmist</t>
  </si>
  <si>
    <t>Tierart</t>
  </si>
  <si>
    <t>Anzahl Tiere</t>
  </si>
  <si>
    <t>Milchkuh  6.000 kg</t>
  </si>
  <si>
    <t>Milchkuh  8.000 kg</t>
  </si>
  <si>
    <t>Milchkuh 10.000 kg</t>
  </si>
  <si>
    <t>Jungvieh 0-27 Monate</t>
  </si>
  <si>
    <t>Kälber 0-16 Wochen</t>
  </si>
  <si>
    <t>Bullenmast 45-625 kg</t>
  </si>
  <si>
    <t>Bullenmast 45-700 kg</t>
  </si>
  <si>
    <t>Bullenmast 80-700 kg</t>
  </si>
  <si>
    <t>Bullenmast 200-700 kg</t>
  </si>
  <si>
    <t>Mutterkuh 500 kg/0,9 Kalb mit 180 kg Absetzgewicht</t>
  </si>
  <si>
    <t>Mutterkuh 700 kg/0,9 Kalb mit 220 kg Absetzgewicht</t>
  </si>
  <si>
    <t>Fresser 80-250 kg, 2,5 Umtriebe/a</t>
  </si>
  <si>
    <t>Kälbermast 50-250 kg, 2,1 Umtriebe/a</t>
  </si>
  <si>
    <t>Tiere je Haltungsverfahren</t>
  </si>
  <si>
    <t>Tiere insgesamt</t>
  </si>
  <si>
    <t>Berechnung Rindviehgülle u. Festmist nach Mindestvorgaben  der Düngeverordnung</t>
  </si>
  <si>
    <t>Lagerdauer Gülle/ Jauche [Monate]</t>
  </si>
  <si>
    <t>Lagerdauer Festmist [Monate]</t>
  </si>
  <si>
    <t>erforderliches Gülle-Jauchelager [m³]</t>
  </si>
  <si>
    <t>erforderliches Festmistlager [m³] bei 850 kg/m³ Festmistgewicht</t>
  </si>
  <si>
    <t xml:space="preserve"> Anfall pro Tier und Monat bei Haltungsverfahren</t>
  </si>
  <si>
    <t>Tiefstreu-Zweiraum Einstreu</t>
  </si>
  <si>
    <t>Anbindung/             Festmist</t>
  </si>
  <si>
    <t>Einstreu &gt; 4,6- 6,3 kg/GV_Tag *2)</t>
  </si>
  <si>
    <t xml:space="preserve"> Einstreu &gt; 9,2-12,5  kg/GV_Tag     *2)  </t>
  </si>
  <si>
    <t xml:space="preserve"> Einstreu 2,5-3,4 kg/GV_Tag *2)             </t>
  </si>
  <si>
    <t xml:space="preserve"> Einstreu  5 kg/GV_Tag *2)     </t>
  </si>
  <si>
    <t xml:space="preserve">m³ </t>
  </si>
  <si>
    <t xml:space="preserve">Gülle [m³] </t>
  </si>
  <si>
    <t xml:space="preserve">Festmist [dt] </t>
  </si>
  <si>
    <t>Jauche [m³]</t>
  </si>
  <si>
    <t>0</t>
  </si>
  <si>
    <t>Reinigungswasser Melkbereich *1                   (8,3 l pro Kuh und Tag)</t>
  </si>
  <si>
    <t>Nettolagervolumen</t>
  </si>
  <si>
    <t>*1)KTBL-Arbeitsblatt 1099/1995</t>
  </si>
  <si>
    <t>*2)Festmistzahlen nach KTBL- Heft Nr. 64 aus 2007</t>
  </si>
  <si>
    <t>Berechnung Rindviehgülle u. Festmist nach Empfehlungen des  VLK</t>
  </si>
  <si>
    <t>Einstreu ca. 6,5  - 9,3 kg/GV_Tag *2)</t>
  </si>
  <si>
    <t xml:space="preserve"> Einstreu ca. 13 - 18,5  kg/GV_Tag     *2)  </t>
  </si>
  <si>
    <t xml:space="preserve"> Einstreu ca.  4,0 - 7,0 kg/GV_Tag *2)             </t>
  </si>
  <si>
    <t xml:space="preserve"> Einstreu ca.  7,0- 10 kg/GV_Tag *2)     </t>
  </si>
  <si>
    <t>Fresser 80-220 kg, 2,5 Umtriebe/a</t>
  </si>
  <si>
    <t>Reinigungswasser Melkstand*1                  (12 l pro Kuh und Tag)</t>
  </si>
  <si>
    <t>*1KTBL-Arbeitsblatt 1099/1995</t>
  </si>
  <si>
    <t xml:space="preserve">*2)Werte der Einstreumengen  pro Tier in Anlehnung an KTBL Schrift 502 (11 - 15 kg Einstreu pro Milchkuh bei 6.000 - 10.000 kg ECM/a), im Milchkuhbereich angepaßt an die Werte von Pries, Menke 2006 </t>
  </si>
  <si>
    <t>Berechnung Schweinegülle und -Festmist</t>
  </si>
  <si>
    <t>Lagerdauer Gülle/Jauche [Monate]</t>
  </si>
  <si>
    <t>erforderliches Festmistlager  [m³] bei 850 kg/m³ Festmistgewicht</t>
  </si>
  <si>
    <t xml:space="preserve"> Anfall pro Tiereinheit und Monat bei Haltungsverfahren</t>
  </si>
  <si>
    <t xml:space="preserve">Festmist                     Einstreu &gt; 11 kg/Tag       </t>
  </si>
  <si>
    <t xml:space="preserve">Festmist Einstreu 3-4 kg/GV-Tag           </t>
  </si>
  <si>
    <t>Haltungsverfahren</t>
  </si>
  <si>
    <t xml:space="preserve"> betrieblich</t>
  </si>
  <si>
    <t>TM nach KTBL</t>
  </si>
  <si>
    <t>m³ bei KTBL-TM</t>
  </si>
  <si>
    <t>m³ betrieblich</t>
  </si>
  <si>
    <t>Festmist [dt]  bei KTBL-TM</t>
  </si>
  <si>
    <t>Festmist [dt] betrieblich</t>
  </si>
  <si>
    <t>Jauche [m³] KTBL- TM</t>
  </si>
  <si>
    <t>Jauche [m³] bei TM tatsächlich</t>
  </si>
  <si>
    <t>Festmist [dt]bei KTBL-TM</t>
  </si>
  <si>
    <t>Festmist [m³] bei TM betrieblich</t>
  </si>
  <si>
    <t>Ferkelaufzucht</t>
  </si>
  <si>
    <t>Ferkelaufzucht bis 8 kg, 20 aufgezogene Ferkel, 200 kg Zuwachs je Platz und Jahr</t>
  </si>
  <si>
    <t>Ferkelaufzucht bis 8 kg, 22 aufgezogene Ferkel, 216 kg Zuwachs je Platz und Jahr</t>
  </si>
  <si>
    <t>Ferkelaufzucht bis 28 kg, 22 aufgezogene Ferkel, 600 kg Zuwachs je Platz und Jahr</t>
  </si>
  <si>
    <t>Ferkelaufzucht bis 28 kg, 20 aufgezogene Ferkel, 656 kg Zuwachs je Platz und Jahr</t>
  </si>
  <si>
    <t>Spezialisierte Ferkelaufzucht (8 - 28 kg,          130 kg Zuwachs je Platz und Jahr)</t>
  </si>
  <si>
    <t>Jungsauen-      aufzucht</t>
  </si>
  <si>
    <t xml:space="preserve"> 28 - 115 kg, 180 kg Zuwachs                          je Platz und Jahr</t>
  </si>
  <si>
    <t>Jungsauen-      eingliederung</t>
  </si>
  <si>
    <t xml:space="preserve"> 95 - 135 kg,240 kg Zuwachs                            je Platz und Jahr</t>
  </si>
  <si>
    <t>Eberhaltung</t>
  </si>
  <si>
    <t>60 kg Zuwachs je Platz und Jahr</t>
  </si>
  <si>
    <t>Schweinemast</t>
  </si>
  <si>
    <t>700 g tägliche Zunahme, 28 - 117 kg,             210 kg Zuwachs je Platz und Jahr</t>
  </si>
  <si>
    <t>800 g tägliche Zunahme, 28 - 117 kg,             240 kg Zuwachs je Platz und Jahr</t>
  </si>
  <si>
    <t>TM*1: Trockenmasse</t>
  </si>
  <si>
    <t>Berechnung Pferdemist nach Empfehlungen LK NRW</t>
  </si>
  <si>
    <t xml:space="preserve">erforderliches Festmistlager [m³] </t>
  </si>
  <si>
    <t>Getreidestroh</t>
  </si>
  <si>
    <t>Leinstroh</t>
  </si>
  <si>
    <t xml:space="preserve">Selbsteinstreu                                            Einstreu &gt; 12 kg/GV_Tag       </t>
  </si>
  <si>
    <t xml:space="preserve">Betreibereinstreu                                              Einstreu &gt; 8 kg/GV_Tag       </t>
  </si>
  <si>
    <t xml:space="preserve">Selbst/Betreiber-Einstreu                          Einstreu &gt;  4,5 kg/GV_Tag       </t>
  </si>
  <si>
    <t>Kurzzeitlager</t>
  </si>
  <si>
    <t>Anfall pro Monat       [ m³]</t>
  </si>
  <si>
    <t>Langzeitlager</t>
  </si>
  <si>
    <t>Langzeitlager,                umgesetzter Mist</t>
  </si>
  <si>
    <t>Langzeitlager, umgesetzter Mist</t>
  </si>
  <si>
    <t>Kurzzeit-/Langzeitlager</t>
  </si>
  <si>
    <t>Großpferde (WH&gt;1,48m) Winterhalbjahr</t>
  </si>
  <si>
    <t>Azahl Tiere</t>
  </si>
  <si>
    <t>Kleinpferde (WH&lt;1,48m) Winterhalbjahr</t>
  </si>
  <si>
    <t>Pferdeaufzucht Großpferde 0-24 Monate</t>
  </si>
  <si>
    <t>Pferdeaufzucht  Kleinpferde0-24 Monate</t>
  </si>
  <si>
    <t>Nettolagervolumen:</t>
  </si>
  <si>
    <t>Festmistgewichte bei Getreidestroh:</t>
  </si>
  <si>
    <t>Raumgewicht Frischmist:</t>
  </si>
  <si>
    <t>Festmistgewicht bei Leinstroh: ca. 800 kg/m³</t>
  </si>
  <si>
    <t>Raumgewicht abgelagerter Mist:(Lagerzeit &gt; 1 Monat]</t>
  </si>
  <si>
    <t>Raumgewicht umgesetzter Mist:</t>
  </si>
  <si>
    <t>Werte gelten für dreiseitig umwandete Stapelmistlager entsprechend Grundsatzempfehlung für die Lagerung von Pferdemist</t>
  </si>
  <si>
    <t>Kurzzeitlager: Lagerzeit &lt; 1 Monat</t>
  </si>
  <si>
    <t>Langzeitlager: Lagerzeit &gt; 1 Monat</t>
  </si>
  <si>
    <t>Bei Pferden ist nicht mit Anfall von Jauche zu rechnen, da der gesamte Harn von der Einstreu aufgenommen wird</t>
  </si>
  <si>
    <t>Berechnung  Festmist Geflügel</t>
  </si>
  <si>
    <t>Festmist pro Tier und Monat *1  [kg]</t>
  </si>
  <si>
    <t>erforderliches Festmistlager bei 750 kg/m³ Festmistgewicht   [m³]</t>
  </si>
  <si>
    <t xml:space="preserve"> Legehennen </t>
  </si>
  <si>
    <t>Junghennen bis 18. Lebendwoche</t>
  </si>
  <si>
    <t>Masthähnchen bis 35 Tage</t>
  </si>
  <si>
    <t>Masthähnchen bis 40 Tage</t>
  </si>
  <si>
    <t>Truthühnermast, Hennen (bis 16. Woche)</t>
  </si>
  <si>
    <t>Truthühnermast, Hähne (bis 21. Woche)</t>
  </si>
  <si>
    <t>Festmistgewicht ca. 700 - 800 kg/m³</t>
  </si>
  <si>
    <t xml:space="preserve"> *1Daten in Anlehnung an KTBL Schrift 502,</t>
  </si>
  <si>
    <t xml:space="preserve">Berechnung Festmist Schafe </t>
  </si>
  <si>
    <t>GV/Tier</t>
  </si>
  <si>
    <t>Jauche pro Tier und Monat</t>
  </si>
  <si>
    <t xml:space="preserve">Festmist pro Tier und Monat *1 </t>
  </si>
  <si>
    <t>Lagerdauer Festmist</t>
  </si>
  <si>
    <t>erforderliches Festmistlager bei 750 kg/m³ Festmistgewicht</t>
  </si>
  <si>
    <t xml:space="preserve"> [m³]</t>
  </si>
  <si>
    <t xml:space="preserve"> [Monate]</t>
  </si>
  <si>
    <t xml:space="preserve"> [m³] </t>
  </si>
  <si>
    <t>Weibliches Schaf</t>
  </si>
  <si>
    <t>Männliches Schaf</t>
  </si>
  <si>
    <t>Weibliches Schaf (7.-12 Monat)</t>
  </si>
  <si>
    <t>Männliches Schaf (7. 12. Monat)</t>
  </si>
  <si>
    <t>Schaf Aufzuchtlamm (7. -26. Woche)</t>
  </si>
  <si>
    <t>Schaf Mastlamm (7. - 20. / 22. Woche)</t>
  </si>
  <si>
    <t>Schaf Sauglamm</t>
  </si>
  <si>
    <t>Quelle: KTBL Datensammlung Fleischschafhaltung 2009</t>
  </si>
  <si>
    <t xml:space="preserve">Festmistanfall  0,92 m³ pro GV und Monat </t>
  </si>
  <si>
    <t>(Einstreu 0,4 - 0,5 kg kg/GV-Tag), dabei wird der Harn komplett  von der Einstreu gebunden</t>
  </si>
  <si>
    <t>Berechnung sonstiger Abwässer des Betriebes</t>
  </si>
  <si>
    <t>Niederschlagswasser von verschmutzen Flächen</t>
  </si>
  <si>
    <t>Größe</t>
  </si>
  <si>
    <t>anfallende Wassermenge</t>
  </si>
  <si>
    <t xml:space="preserve"> [m²]</t>
  </si>
  <si>
    <t>Hofflächen</t>
  </si>
  <si>
    <t xml:space="preserve"> verschmutzte Fahrsiloplatte anteilig*</t>
  </si>
  <si>
    <t>oder 3% von Silagelagerkapazität [m³]</t>
  </si>
  <si>
    <t>Personenzahl für häusliche Abwässer 
[150 l je Person und Tag]</t>
  </si>
  <si>
    <t>notwendige Lagerkapazität</t>
  </si>
  <si>
    <t>Berechnung vorhandener Güllebehälter</t>
  </si>
  <si>
    <t>Rundbehälter</t>
  </si>
  <si>
    <t>Lfd- Nr.</t>
  </si>
  <si>
    <t>Bezeichnung</t>
  </si>
  <si>
    <t>Anzahl</t>
  </si>
  <si>
    <t xml:space="preserve">Länge </t>
  </si>
  <si>
    <t xml:space="preserve">Breite </t>
  </si>
  <si>
    <t>Durch messer</t>
  </si>
  <si>
    <t>Lichte Höhe</t>
  </si>
  <si>
    <t>Offener Behälter</t>
  </si>
  <si>
    <t>Abzug Regenwasser bei offenen Behältern</t>
  </si>
  <si>
    <t>Abzug von Behälterhöhe für Restmengen bei Behältern ohne Pumpensumpf</t>
  </si>
  <si>
    <t xml:space="preserve">Abzug Freiboard *1   </t>
  </si>
  <si>
    <t>anrechenbare Höhe</t>
  </si>
  <si>
    <t>anrechenbares Volumen</t>
  </si>
  <si>
    <t>[m]</t>
  </si>
  <si>
    <t xml:space="preserve"> [m]</t>
  </si>
  <si>
    <t xml:space="preserve"> [x]</t>
  </si>
  <si>
    <t>*1 bei offenen Behätern 0,20 m, bei geschlossenen Behältern 0,10 m (TRwS 792)</t>
  </si>
  <si>
    <t>Rechteckige Behälter/Güllekeller als Stallunterbau</t>
  </si>
  <si>
    <t>Länge</t>
  </si>
  <si>
    <t>Breite [m]</t>
  </si>
  <si>
    <t>Abzug Freiboard bei offenen Behältern</t>
  </si>
  <si>
    <t>[x]</t>
  </si>
  <si>
    <t>Summe vorhandene Behälter:</t>
  </si>
  <si>
    <t>Lagunen</t>
  </si>
  <si>
    <t>Länge oben</t>
  </si>
  <si>
    <t>Länge unten</t>
  </si>
  <si>
    <t>Breite oben</t>
  </si>
  <si>
    <t>Breite unten</t>
  </si>
  <si>
    <t>Abzug Freiboard bei offenen Behältern*2</t>
  </si>
  <si>
    <t xml:space="preserve">  [x]</t>
  </si>
  <si>
    <t>*2 Abzug bei Erdbecken 0,50 m (nach bauaufsichtlicher Zulassung)</t>
  </si>
  <si>
    <t>Zwischensumme Lagunen:</t>
  </si>
  <si>
    <t>Bonn, 7. Januar 2003</t>
  </si>
  <si>
    <t>Nienhaus</t>
  </si>
  <si>
    <t>Berechnung geplanter Güllebehälter</t>
  </si>
  <si>
    <t>Breite</t>
  </si>
  <si>
    <t>Stallunterbau</t>
  </si>
  <si>
    <t>Abzug Regen   wasser bei offenen Behältern</t>
  </si>
  <si>
    <t>Abzug Freiboard *1</t>
  </si>
  <si>
    <t>Zwischensumme rechteckige Behälter / Stallunterbauten:</t>
  </si>
  <si>
    <t xml:space="preserve">erforderlicher Neubau Rundbehälter: </t>
  </si>
  <si>
    <t>offener Behälter</t>
  </si>
  <si>
    <t xml:space="preserve">Abzug Rest-  mengen bei Behältern ohne Pumpen-  sumpf </t>
  </si>
  <si>
    <t>Abzug Frei-   board *1</t>
  </si>
  <si>
    <t xml:space="preserve">anrechenbare Höhe </t>
  </si>
  <si>
    <t>Mindest  durch- messer</t>
  </si>
  <si>
    <t>gewählter Durchmesser</t>
  </si>
  <si>
    <t>Brutto-  volumen</t>
  </si>
  <si>
    <t xml:space="preserve">anrechenbares Volumen </t>
  </si>
  <si>
    <t>m³</t>
  </si>
  <si>
    <t>Zwischensumme runde Behälter:</t>
  </si>
  <si>
    <t>Summe geplanter Behälter:</t>
  </si>
  <si>
    <t>vorhandene Festmistlagerstätten</t>
  </si>
  <si>
    <t>Lfd. Nr.</t>
  </si>
  <si>
    <t xml:space="preserve"> Lagerhöhe</t>
  </si>
  <si>
    <t xml:space="preserve">Über      dachung     </t>
  </si>
  <si>
    <t>Reduzierung Sickerwasser bei gestapeltem Pferdemist *1</t>
  </si>
  <si>
    <t>Anfallendes Regenwasser</t>
  </si>
  <si>
    <t>Summe :</t>
  </si>
  <si>
    <t>Mindestlagervolumen neu:</t>
  </si>
  <si>
    <t>geplante Festmistlagerstätten</t>
  </si>
  <si>
    <t>*1: Standarmäßig ist der Wert 1 einzusetzen, bei Stapelmist kann bis auf 0,5 reduziert werden</t>
  </si>
  <si>
    <t>Hinweis: Bei gestapeltem Pferdemist kann die anfallende Sickersaftmenge halbiert werden, da der Rotteprozess 50 % der anfallenden Niederschlagesmenge verbraucht.</t>
  </si>
  <si>
    <t>Stationsname</t>
  </si>
  <si>
    <t>Höhe ü NN</t>
  </si>
  <si>
    <t>Bundesland</t>
  </si>
  <si>
    <t>Jan</t>
  </si>
  <si>
    <t>Feb</t>
  </si>
  <si>
    <t>Mrz</t>
  </si>
  <si>
    <t>Apr</t>
  </si>
  <si>
    <t>Mai</t>
  </si>
  <si>
    <t>Jun</t>
  </si>
  <si>
    <t>Jul</t>
  </si>
  <si>
    <t>Aug</t>
  </si>
  <si>
    <t>Sep</t>
  </si>
  <si>
    <t>Okt</t>
  </si>
  <si>
    <t>Nov</t>
  </si>
  <si>
    <t>Dez</t>
  </si>
  <si>
    <t>Jahr</t>
  </si>
  <si>
    <t>AACHEN (KLAERANLAGE)</t>
  </si>
  <si>
    <t>50°48'</t>
  </si>
  <si>
    <t>06°06'</t>
  </si>
  <si>
    <t>Nordrhein-Westfalen</t>
  </si>
  <si>
    <t>AACHEN (WEWA)</t>
  </si>
  <si>
    <t>50°47'</t>
  </si>
  <si>
    <t>06°05'</t>
  </si>
  <si>
    <t>AACHEN-BRAND</t>
  </si>
  <si>
    <t>50°45'</t>
  </si>
  <si>
    <t>06°10'</t>
  </si>
  <si>
    <t>AHAUS</t>
  </si>
  <si>
    <t>52°05'</t>
  </si>
  <si>
    <t>07°00'</t>
  </si>
  <si>
    <t>AHLEN I.W.</t>
  </si>
  <si>
    <t>51°46'</t>
  </si>
  <si>
    <t>07°52'</t>
  </si>
  <si>
    <t>ALFTER-VOLMERSHOVEN</t>
  </si>
  <si>
    <t>50°40'</t>
  </si>
  <si>
    <t>ALTENA I.W.</t>
  </si>
  <si>
    <t>51°17'</t>
  </si>
  <si>
    <t>07°41'</t>
  </si>
  <si>
    <t>ALTENBERGE</t>
  </si>
  <si>
    <t>52°03'</t>
  </si>
  <si>
    <t>07°29'</t>
  </si>
  <si>
    <t>ARNSBERG</t>
  </si>
  <si>
    <t>51°22'</t>
  </si>
  <si>
    <t>08°04'</t>
  </si>
  <si>
    <t>ARNSBERG-HOLZEN</t>
  </si>
  <si>
    <t>51°25'</t>
  </si>
  <si>
    <t>07°54'</t>
  </si>
  <si>
    <t>ATTENDORN</t>
  </si>
  <si>
    <t>51°07'</t>
  </si>
  <si>
    <t>ATTENDORN(LISTERTALSP.)</t>
  </si>
  <si>
    <t>51°06'</t>
  </si>
  <si>
    <t>07°50'</t>
  </si>
  <si>
    <t>ATTENDORN-NEULISTERNOHL</t>
  </si>
  <si>
    <t>AUGUSTDORF</t>
  </si>
  <si>
    <t>51°53'</t>
  </si>
  <si>
    <t>08°44'</t>
  </si>
  <si>
    <t>BECKUM-NEUBECKUM</t>
  </si>
  <si>
    <t>51°48'</t>
  </si>
  <si>
    <t>08°01'</t>
  </si>
  <si>
    <t>BECKUM-UNTERBERG</t>
  </si>
  <si>
    <t>51°43'</t>
  </si>
  <si>
    <t>08°03'</t>
  </si>
  <si>
    <t>BERGISCH GLADB.-REFRATH</t>
  </si>
  <si>
    <t>50°57'</t>
  </si>
  <si>
    <t>07°06'</t>
  </si>
  <si>
    <t>BERGNEUSTADT-HUENGRINGH.</t>
  </si>
  <si>
    <t>51°00'</t>
  </si>
  <si>
    <t>07°40'</t>
  </si>
  <si>
    <t>BERLEBURG,BAD</t>
  </si>
  <si>
    <t>51°02'</t>
  </si>
  <si>
    <t>08°23'</t>
  </si>
  <si>
    <t>BERLEBURG,BAD (NST)</t>
  </si>
  <si>
    <t>51°04'</t>
  </si>
  <si>
    <t>BERLEBURG,BAD-GIRKHAUSEN</t>
  </si>
  <si>
    <t>08°27'</t>
  </si>
  <si>
    <t>BERLEBURG,BAD-SCHWARZEN.</t>
  </si>
  <si>
    <t>51°01'</t>
  </si>
  <si>
    <t>08°28'</t>
  </si>
  <si>
    <t>BERLEBURG,BAD-WINGESHS.</t>
  </si>
  <si>
    <t>08°17'</t>
  </si>
  <si>
    <t>BERLEBURG,BAD-WUNDERTHS.</t>
  </si>
  <si>
    <t>51°05'</t>
  </si>
  <si>
    <t>08°30'</t>
  </si>
  <si>
    <t>BESTWIG-NUTTLAR</t>
  </si>
  <si>
    <t>08°25'</t>
  </si>
  <si>
    <t>BEVERUNGEN</t>
  </si>
  <si>
    <t>51°40'</t>
  </si>
  <si>
    <t>09°22'</t>
  </si>
  <si>
    <t>BIELEFELD (STADTREINIG.)</t>
  </si>
  <si>
    <t>52°02'</t>
  </si>
  <si>
    <t>08°33'</t>
  </si>
  <si>
    <t>BIELEFELD-ALTENHAGEN</t>
  </si>
  <si>
    <t>08°38'</t>
  </si>
  <si>
    <t>BIELEFELD-BRACKWEDE</t>
  </si>
  <si>
    <t>51°59'</t>
  </si>
  <si>
    <t>08°31'</t>
  </si>
  <si>
    <t>BIELEFELD-SENNE</t>
  </si>
  <si>
    <t>BIELEFELD-SENNESTADT</t>
  </si>
  <si>
    <t>51°56'</t>
  </si>
  <si>
    <t>08°35'</t>
  </si>
  <si>
    <t>BILLERBECK</t>
  </si>
  <si>
    <t>07°18'</t>
  </si>
  <si>
    <t>BLANKENHEIM-AHRHUETTE</t>
  </si>
  <si>
    <t>50°23'</t>
  </si>
  <si>
    <t>06°44'</t>
  </si>
  <si>
    <t>BOCHOLT-LIEDERN (AWST)</t>
  </si>
  <si>
    <t>51°49'</t>
  </si>
  <si>
    <t>06°32'</t>
  </si>
  <si>
    <t>BOCHUM-LANGENDREER</t>
  </si>
  <si>
    <t>51°28'</t>
  </si>
  <si>
    <t>07°19'</t>
  </si>
  <si>
    <t>BOCHUM-WEITMAR</t>
  </si>
  <si>
    <t>51°27'</t>
  </si>
  <si>
    <t>07°12'</t>
  </si>
  <si>
    <t>BONN</t>
  </si>
  <si>
    <t>50°43'</t>
  </si>
  <si>
    <t>07°05'</t>
  </si>
  <si>
    <t>BONN-FRIESDORF (AWST)</t>
  </si>
  <si>
    <t>50°42'</t>
  </si>
  <si>
    <t>07°08'</t>
  </si>
  <si>
    <t>BORGENTREICH</t>
  </si>
  <si>
    <t>51°34'</t>
  </si>
  <si>
    <t>09°14'</t>
  </si>
  <si>
    <t>BORGENTREICH-BUEHNE</t>
  </si>
  <si>
    <t>09°18'</t>
  </si>
  <si>
    <t>BORKEN I.W.</t>
  </si>
  <si>
    <t>51°52'</t>
  </si>
  <si>
    <t>06°53'</t>
  </si>
  <si>
    <t>BRACHT</t>
  </si>
  <si>
    <t>06°12'</t>
  </si>
  <si>
    <t>BRAKEL</t>
  </si>
  <si>
    <t>51°42'</t>
  </si>
  <si>
    <t>09°10'</t>
  </si>
  <si>
    <t>BRECKERFELD(ENNEPETALSP)</t>
  </si>
  <si>
    <t>51°14'</t>
  </si>
  <si>
    <t>07°24'</t>
  </si>
  <si>
    <t>BRECKERFELD-ZURSTRASSE</t>
  </si>
  <si>
    <t>51°18'</t>
  </si>
  <si>
    <t>07°27'</t>
  </si>
  <si>
    <t>BRILON</t>
  </si>
  <si>
    <t>51°24'</t>
  </si>
  <si>
    <t>BRILON-BONTKIRCHEN</t>
  </si>
  <si>
    <t>51°21'</t>
  </si>
  <si>
    <t>08°39'</t>
  </si>
  <si>
    <t>BRILON-NIEDERALME</t>
  </si>
  <si>
    <t>08°37'</t>
  </si>
  <si>
    <t>BRILON-SCHARFENBERG</t>
  </si>
  <si>
    <t>08°32'</t>
  </si>
  <si>
    <t>BRUEGGEN</t>
  </si>
  <si>
    <t>06°09'</t>
  </si>
  <si>
    <t>BRUEHL</t>
  </si>
  <si>
    <t>50°49'</t>
  </si>
  <si>
    <t>06°54'</t>
  </si>
  <si>
    <t>BUEREN</t>
  </si>
  <si>
    <t>51°32'</t>
  </si>
  <si>
    <t>BUEREN-WEWELSBURG</t>
  </si>
  <si>
    <t>51°36'</t>
  </si>
  <si>
    <t>BURBACH-WUERGENDORF</t>
  </si>
  <si>
    <t>08°06'</t>
  </si>
  <si>
    <t>COESFELD</t>
  </si>
  <si>
    <t>51°57'</t>
  </si>
  <si>
    <t>07°09'</t>
  </si>
  <si>
    <t>DAHLEM-KRONENBURG</t>
  </si>
  <si>
    <t>50°21'</t>
  </si>
  <si>
    <t>06°28'</t>
  </si>
  <si>
    <t>DAHLEM-SCHMIDTHEIM</t>
  </si>
  <si>
    <t>50°24'</t>
  </si>
  <si>
    <t>06°33'</t>
  </si>
  <si>
    <t>DELBRUECK</t>
  </si>
  <si>
    <t>51°47'</t>
  </si>
  <si>
    <t>DINSLAKEN</t>
  </si>
  <si>
    <t>06°47'</t>
  </si>
  <si>
    <t>DORMAGEN-ZONS</t>
  </si>
  <si>
    <t>06°50'</t>
  </si>
  <si>
    <t>DORSTEN-HERVEST</t>
  </si>
  <si>
    <t>06°59'</t>
  </si>
  <si>
    <t>DORTMUND</t>
  </si>
  <si>
    <t>51°30'</t>
  </si>
  <si>
    <t>07°32'</t>
  </si>
  <si>
    <t>DORTMUND-BRECHTEN</t>
  </si>
  <si>
    <t>DORTMUND-KRUCKEL</t>
  </si>
  <si>
    <t>07°25'</t>
  </si>
  <si>
    <t>DRENSTEINFURT</t>
  </si>
  <si>
    <t>51°45'</t>
  </si>
  <si>
    <t>07°45'</t>
  </si>
  <si>
    <t>DRIBURG,BAD</t>
  </si>
  <si>
    <t>51°44'</t>
  </si>
  <si>
    <t>09°02'</t>
  </si>
  <si>
    <t>DRIBURG,BAD-DRINGENBERG</t>
  </si>
  <si>
    <t>09°03'</t>
  </si>
  <si>
    <t>DROLSHAGEN-BLECHE</t>
  </si>
  <si>
    <t>07°44'</t>
  </si>
  <si>
    <t>DUEREN</t>
  </si>
  <si>
    <t>DUESSELDORF (FLUGWEWA)</t>
  </si>
  <si>
    <t>06°46'</t>
  </si>
  <si>
    <t>DUESSELDORF (SUEDFRIEDH)</t>
  </si>
  <si>
    <t>51°12'</t>
  </si>
  <si>
    <t>06°45'</t>
  </si>
  <si>
    <t>DUESSELDORF-GERRESHEIM</t>
  </si>
  <si>
    <t>51°13'</t>
  </si>
  <si>
    <t>06°52'</t>
  </si>
  <si>
    <t>DUESSELDORF-HEERDT</t>
  </si>
  <si>
    <t>06°43'</t>
  </si>
  <si>
    <t>DUISBURG-HAMBORN</t>
  </si>
  <si>
    <t>06°48'</t>
  </si>
  <si>
    <t>DUISBURG-HOCHFELD</t>
  </si>
  <si>
    <t>DUISBURG-LAAR</t>
  </si>
  <si>
    <t>ELSDORF/ERFTKREIS</t>
  </si>
  <si>
    <t>50°55'</t>
  </si>
  <si>
    <t>EMSDETTEN</t>
  </si>
  <si>
    <t>52°10'</t>
  </si>
  <si>
    <t>07°33'</t>
  </si>
  <si>
    <t>ENGELSKIRCHEN</t>
  </si>
  <si>
    <t>50°59'</t>
  </si>
  <si>
    <t>ENGER</t>
  </si>
  <si>
    <t>52°09'</t>
  </si>
  <si>
    <t>ENNEPETAL-MILSPE</t>
  </si>
  <si>
    <t>ENNIGERLOH-OSTENFELDE</t>
  </si>
  <si>
    <t>ERFTSTADT-BLIESHEIM</t>
  </si>
  <si>
    <t>50°46'</t>
  </si>
  <si>
    <t>06°49'</t>
  </si>
  <si>
    <t>ERKELENZ</t>
  </si>
  <si>
    <t>06°18'</t>
  </si>
  <si>
    <t>ERNDTEBRUECK</t>
  </si>
  <si>
    <t>08°15'</t>
  </si>
  <si>
    <t>ESCHWEILER-WEISWEILER</t>
  </si>
  <si>
    <t>06°19'</t>
  </si>
  <si>
    <t>ESLOHE</t>
  </si>
  <si>
    <t>51°15'</t>
  </si>
  <si>
    <t>08°09'</t>
  </si>
  <si>
    <t>ESSEN (RUHRHAUS)</t>
  </si>
  <si>
    <t>51°26'</t>
  </si>
  <si>
    <t>07°01'</t>
  </si>
  <si>
    <t>ESSEN-BREDENEY (AWST)</t>
  </si>
  <si>
    <t>06°58'</t>
  </si>
  <si>
    <t>ESSEN-DELLWIG</t>
  </si>
  <si>
    <t>06°55'</t>
  </si>
  <si>
    <t>EXTERTAL-MEIERBERG</t>
  </si>
  <si>
    <t>52°06'</t>
  </si>
  <si>
    <t>09°08'</t>
  </si>
  <si>
    <t>FINNENTROP-BAMENOHL</t>
  </si>
  <si>
    <t>51°09'</t>
  </si>
  <si>
    <t>08°00'</t>
  </si>
  <si>
    <t>FRECHEN (BENZELRATH)</t>
  </si>
  <si>
    <t>50°54'</t>
  </si>
  <si>
    <t>FROENDENBERG</t>
  </si>
  <si>
    <t>GEILENKIRCHEN</t>
  </si>
  <si>
    <t>06°07'</t>
  </si>
  <si>
    <t>GELDERN-KAPELLEN</t>
  </si>
  <si>
    <t>06°22'</t>
  </si>
  <si>
    <t>GELDERN-WALBECK</t>
  </si>
  <si>
    <t>06°14'</t>
  </si>
  <si>
    <t>GELSENKIRCHEN-BUER</t>
  </si>
  <si>
    <t>51°35'</t>
  </si>
  <si>
    <t>07°04'</t>
  </si>
  <si>
    <t>GELSENKIRCHEN-HESSLER</t>
  </si>
  <si>
    <t>07°03'</t>
  </si>
  <si>
    <t>GESCHER</t>
  </si>
  <si>
    <t>GESEKE-ERINGERFELD</t>
  </si>
  <si>
    <t>GOCH-ASPERDEN</t>
  </si>
  <si>
    <t>51°41'</t>
  </si>
  <si>
    <t>GREVENBROICH-NEURATH</t>
  </si>
  <si>
    <t>06°35'</t>
  </si>
  <si>
    <t>GRONAU</t>
  </si>
  <si>
    <t>52°12'</t>
  </si>
  <si>
    <t>GUETERSLOH</t>
  </si>
  <si>
    <t>08°21'</t>
  </si>
  <si>
    <t>GUETERSLOH (WASSERWERK)</t>
  </si>
  <si>
    <t>51°54'</t>
  </si>
  <si>
    <t>08°22'</t>
  </si>
  <si>
    <t>GUMMERSBACH</t>
  </si>
  <si>
    <t>07°35'</t>
  </si>
  <si>
    <t>HAGEN(HASPER TALSPERRE)</t>
  </si>
  <si>
    <t>HAGEN-FLEY</t>
  </si>
  <si>
    <t>HAGEN-RUMMENOHL</t>
  </si>
  <si>
    <t>51°16'</t>
  </si>
  <si>
    <t>HAGEN-WEHRINGHAUSEN</t>
  </si>
  <si>
    <t>07°26'</t>
  </si>
  <si>
    <t>HALLENBERG</t>
  </si>
  <si>
    <t>HALTERN</t>
  </si>
  <si>
    <t>HAMM-RHYNERN</t>
  </si>
  <si>
    <t>51°38'</t>
  </si>
  <si>
    <t>HAMMINKELN-MEHRHOOG</t>
  </si>
  <si>
    <t>06°29'</t>
  </si>
  <si>
    <t>HAMMINKELN-RINGENBERG</t>
  </si>
  <si>
    <t>06°36'</t>
  </si>
  <si>
    <t>HARSEWINKEL</t>
  </si>
  <si>
    <t>08°14'</t>
  </si>
  <si>
    <t>HATTINGEN-WINZ</t>
  </si>
  <si>
    <t>07°10'</t>
  </si>
  <si>
    <t>HEDDINGHAUSEN</t>
  </si>
  <si>
    <t>08°53'</t>
  </si>
  <si>
    <t>HEILIGENHAUS</t>
  </si>
  <si>
    <t>HEILIGENHAUS-ABTSKUECHE</t>
  </si>
  <si>
    <t>51°20'</t>
  </si>
  <si>
    <t>HEIMBACH-DUETTLING</t>
  </si>
  <si>
    <t>50°36'</t>
  </si>
  <si>
    <t>HEIMBACH-SCHWAMMENAUEL</t>
  </si>
  <si>
    <t>50°38'</t>
  </si>
  <si>
    <t>06°26'</t>
  </si>
  <si>
    <t>HEINSBERG-SCHLEIDEN</t>
  </si>
  <si>
    <t>HELLENTHAL-HOLLERATH</t>
  </si>
  <si>
    <t>50°27'</t>
  </si>
  <si>
    <t>06°24'</t>
  </si>
  <si>
    <t>HELLENTHAL-UDENBRETH</t>
  </si>
  <si>
    <t>06°23'</t>
  </si>
  <si>
    <t>HEMER-HEPPINGSEN</t>
  </si>
  <si>
    <t>07°46'</t>
  </si>
  <si>
    <t>HENNEF</t>
  </si>
  <si>
    <t>07°15'</t>
  </si>
  <si>
    <t>HENNEF-STADT BLANKENBERG</t>
  </si>
  <si>
    <t>07°22'</t>
  </si>
  <si>
    <t>HERFORD</t>
  </si>
  <si>
    <t>52°07'</t>
  </si>
  <si>
    <t>08°41'</t>
  </si>
  <si>
    <t>HERNE (GRAEFFSTR.)</t>
  </si>
  <si>
    <t>07°13'</t>
  </si>
  <si>
    <t>HERSCHEID</t>
  </si>
  <si>
    <t>HERTEN</t>
  </si>
  <si>
    <t>HERZOGENRATH</t>
  </si>
  <si>
    <t>50°51'</t>
  </si>
  <si>
    <t>06°04'</t>
  </si>
  <si>
    <t>HIDDENHAUSEN-EILSHAUSEN</t>
  </si>
  <si>
    <t>HILDEN</t>
  </si>
  <si>
    <t>51°10'</t>
  </si>
  <si>
    <t>06°57'</t>
  </si>
  <si>
    <t>HOERSTEL</t>
  </si>
  <si>
    <t>52°14'</t>
  </si>
  <si>
    <t>07°38'</t>
  </si>
  <si>
    <t>HOEXTER</t>
  </si>
  <si>
    <t>09°24'</t>
  </si>
  <si>
    <t>HOEXTER-STAHLE</t>
  </si>
  <si>
    <t>09°25'</t>
  </si>
  <si>
    <t>HOHENLIMBURG</t>
  </si>
  <si>
    <t>HONNEF,BAD</t>
  </si>
  <si>
    <t>50°39'</t>
  </si>
  <si>
    <t>HORN-MEINBG.,BAD-FELDROM</t>
  </si>
  <si>
    <t>08°56'</t>
  </si>
  <si>
    <t>HUECKESWAGEN</t>
  </si>
  <si>
    <t>07°20'</t>
  </si>
  <si>
    <t>HUECKESWAGEN(BEVERTALSP)</t>
  </si>
  <si>
    <t>51°08'</t>
  </si>
  <si>
    <t>IBBENBUEREN</t>
  </si>
  <si>
    <t>52°16'</t>
  </si>
  <si>
    <t>07°43'</t>
  </si>
  <si>
    <t>ISERLOHN</t>
  </si>
  <si>
    <t>51°23'</t>
  </si>
  <si>
    <t>07°42'</t>
  </si>
  <si>
    <t>ISERLOHN-LETMATHE</t>
  </si>
  <si>
    <t>07°36'</t>
  </si>
  <si>
    <t>ISERLOHN-WESTIG</t>
  </si>
  <si>
    <t>JUELICH (KERNF.-ANLAGE)</t>
  </si>
  <si>
    <t>JUELICH (KLAERANLAGE)</t>
  </si>
  <si>
    <t>06°03'</t>
  </si>
  <si>
    <t>KAHLER ASTEN (WEWA)</t>
  </si>
  <si>
    <t>08°29'</t>
  </si>
  <si>
    <t>KALL-SISTIG</t>
  </si>
  <si>
    <t>50°30'</t>
  </si>
  <si>
    <t>06°31'</t>
  </si>
  <si>
    <t>KALLETAL-HOHENHAUSEN</t>
  </si>
  <si>
    <t>08°57'</t>
  </si>
  <si>
    <t>KAMEN</t>
  </si>
  <si>
    <t>07°39'</t>
  </si>
  <si>
    <t>KERKEN-RAHM</t>
  </si>
  <si>
    <t>06°25'</t>
  </si>
  <si>
    <t>KIERSPE-HOECKINGHAUSEN</t>
  </si>
  <si>
    <t>07°34'</t>
  </si>
  <si>
    <t>KIRCHHUNDEM-KOHLH.-WIRME</t>
  </si>
  <si>
    <t>51°03'</t>
  </si>
  <si>
    <t>KIRCHHUNDEM-RH.WESERTURM</t>
  </si>
  <si>
    <t>08°11'</t>
  </si>
  <si>
    <t>KLEVE</t>
  </si>
  <si>
    <t>KLEVE-SCHENKENSCHANZ</t>
  </si>
  <si>
    <t>51°50'</t>
  </si>
  <si>
    <t>KOELN-PORZ-EIL</t>
  </si>
  <si>
    <t>50°53'</t>
  </si>
  <si>
    <t>KOELN-WAHN (FLUGWEWA)</t>
  </si>
  <si>
    <t>KOENIGSWINTER-HEISTERBA.</t>
  </si>
  <si>
    <t>07°14'</t>
  </si>
  <si>
    <t>KREFELD-FORSTWALD</t>
  </si>
  <si>
    <t>KREUZTAL-EICHEN</t>
  </si>
  <si>
    <t>07°58'</t>
  </si>
  <si>
    <t>KUERTEN</t>
  </si>
  <si>
    <t>LAASPHE,BAD</t>
  </si>
  <si>
    <t>50°56'</t>
  </si>
  <si>
    <t>LAASPHE,BAD-RUECKERSHS.</t>
  </si>
  <si>
    <t>LADBERGEN-OVERBECK</t>
  </si>
  <si>
    <t>LAGE,KR.LIPPE</t>
  </si>
  <si>
    <t>08°48'</t>
  </si>
  <si>
    <t>LAGE,KR.LIPPE-HOERSTE</t>
  </si>
  <si>
    <t>08°45'</t>
  </si>
  <si>
    <t>LANGENHOLZHAUSEN</t>
  </si>
  <si>
    <t>08°58'</t>
  </si>
  <si>
    <t>LEGDEN</t>
  </si>
  <si>
    <t>07°07'</t>
  </si>
  <si>
    <t>LEMGO</t>
  </si>
  <si>
    <t>08°54'</t>
  </si>
  <si>
    <t>LENNESTADT-ALTENHUNDEM</t>
  </si>
  <si>
    <t>08°05'</t>
  </si>
  <si>
    <t>LENNESTADT-BILSTEIN</t>
  </si>
  <si>
    <t>LEVERKUSEN</t>
  </si>
  <si>
    <t>LEVERKUSEN-HITDORF</t>
  </si>
  <si>
    <t>LEVERKUSEN-PATTSCHEID</t>
  </si>
  <si>
    <t>LICHTENAU I.W.</t>
  </si>
  <si>
    <t>51°37'</t>
  </si>
  <si>
    <t>LICHTENAU I.W.-BLANKENR.</t>
  </si>
  <si>
    <t>LIENEN-KATTENVENNE</t>
  </si>
  <si>
    <t>LINDLAR</t>
  </si>
  <si>
    <t>07°23'</t>
  </si>
  <si>
    <t>LIPPSPRINGE,BAD (WEWA)</t>
  </si>
  <si>
    <t>08°50'</t>
  </si>
  <si>
    <t>LIPPSTADT</t>
  </si>
  <si>
    <t>08°18'</t>
  </si>
  <si>
    <t>LIPPSTADT-BENNINGHAUSEN</t>
  </si>
  <si>
    <t>51°39'</t>
  </si>
  <si>
    <t>LIPPSTADT-BOEKENFOERDE</t>
  </si>
  <si>
    <t>LOOPE</t>
  </si>
  <si>
    <t>50°58'</t>
  </si>
  <si>
    <t>LUEBBECKE</t>
  </si>
  <si>
    <t>52°19'</t>
  </si>
  <si>
    <t>LUEDENSCHEID</t>
  </si>
  <si>
    <t>LUEDINGHAUSEN</t>
  </si>
  <si>
    <t>LUENEN</t>
  </si>
  <si>
    <t>MARIENHEIDE(KLAERA.NORD)</t>
  </si>
  <si>
    <t>07°31'</t>
  </si>
  <si>
    <t>MARIENHEIDE-MUELLENBACH</t>
  </si>
  <si>
    <t>MARIENMUENSTER-VOERDEN</t>
  </si>
  <si>
    <t>09°13'</t>
  </si>
  <si>
    <t>MARSBERG-HELMINGHAUSEN</t>
  </si>
  <si>
    <t>08°43'</t>
  </si>
  <si>
    <t>MARSBERG-LEITMAR</t>
  </si>
  <si>
    <t>08°51'</t>
  </si>
  <si>
    <t>MEDEBACH</t>
  </si>
  <si>
    <t>08°42'</t>
  </si>
  <si>
    <t>MEDEBACH-KUESTELBERG</t>
  </si>
  <si>
    <t>08°36'</t>
  </si>
  <si>
    <t>MEINERZHAGEN</t>
  </si>
  <si>
    <t>MEINERZHAGEN (A)</t>
  </si>
  <si>
    <t>MEINERZHAGEN-VALBERT</t>
  </si>
  <si>
    <t>07°48'</t>
  </si>
  <si>
    <t>MELLERHOEFE</t>
  </si>
  <si>
    <t>50°50'</t>
  </si>
  <si>
    <t>MESCHEDE</t>
  </si>
  <si>
    <t>08°16'</t>
  </si>
  <si>
    <t>METTMANN</t>
  </si>
  <si>
    <t>MINDEN-HAHLEN</t>
  </si>
  <si>
    <t>52°18'</t>
  </si>
  <si>
    <t>MOEHNESEE(MOEHNETALSP.)</t>
  </si>
  <si>
    <t>51°29'</t>
  </si>
  <si>
    <t>MOENCHENGLADBACH</t>
  </si>
  <si>
    <t>51°11'</t>
  </si>
  <si>
    <t>06°27'</t>
  </si>
  <si>
    <t>06°21'</t>
  </si>
  <si>
    <t>MOERS</t>
  </si>
  <si>
    <t>06°39'</t>
  </si>
  <si>
    <t>MOERS-REPELEN</t>
  </si>
  <si>
    <t>MONSCHAU</t>
  </si>
  <si>
    <t>50°34'</t>
  </si>
  <si>
    <t>MONSCHAU-KALTERHERBERG</t>
  </si>
  <si>
    <t>50°31'</t>
  </si>
  <si>
    <t>MORSBACH</t>
  </si>
  <si>
    <t>MUENSTER</t>
  </si>
  <si>
    <t>MUENSTER (SCHLEUSE)</t>
  </si>
  <si>
    <t>MUENSTEREIFEL,BAD</t>
  </si>
  <si>
    <t>50°32'</t>
  </si>
  <si>
    <t>MUENSTEREIFEL,BAD-HOUVE.</t>
  </si>
  <si>
    <t>NASSENGRUND</t>
  </si>
  <si>
    <t>51°58'</t>
  </si>
  <si>
    <t>09°06'</t>
  </si>
  <si>
    <t>NETPHEN (LAHNHOF)</t>
  </si>
  <si>
    <t>NETPHEN-HAINCHEN</t>
  </si>
  <si>
    <t>08°12'</t>
  </si>
  <si>
    <t>NETTETAL-LOBBERICH</t>
  </si>
  <si>
    <t>NEUENRADE</t>
  </si>
  <si>
    <t>07°47'</t>
  </si>
  <si>
    <t>NEUNK.-SEELSCH.-MEISENB.</t>
  </si>
  <si>
    <t>NEUNKIRCHEN,KR.SIEGEN-W.</t>
  </si>
  <si>
    <t>NEUSS</t>
  </si>
  <si>
    <t>06°41'</t>
  </si>
  <si>
    <t>NIEHEIM</t>
  </si>
  <si>
    <t>NORDKIRCHEN</t>
  </si>
  <si>
    <t>NOTTULN</t>
  </si>
  <si>
    <t>OBERHAUSEN (KAISERGART.)</t>
  </si>
  <si>
    <t>OBERHAUSEN-STERKRADE</t>
  </si>
  <si>
    <t>51°31'</t>
  </si>
  <si>
    <t>OCHTRUP</t>
  </si>
  <si>
    <t>ODENTHAL-OSENAU</t>
  </si>
  <si>
    <t>OELDE</t>
  </si>
  <si>
    <t>OERLINGHAUSEN</t>
  </si>
  <si>
    <t>OEYNHAUSEN,BAD</t>
  </si>
  <si>
    <t>08°47'</t>
  </si>
  <si>
    <t>OLFEN</t>
  </si>
  <si>
    <t>07°21'</t>
  </si>
  <si>
    <t>OLPE</t>
  </si>
  <si>
    <t>07°51'</t>
  </si>
  <si>
    <t>OLSBERG-BRUNSKAPPEL</t>
  </si>
  <si>
    <t>OVERATH-IMMEKEPPEL</t>
  </si>
  <si>
    <t>PADERBORN</t>
  </si>
  <si>
    <t>PETERSHAGEN</t>
  </si>
  <si>
    <t>52°22'</t>
  </si>
  <si>
    <t>09°01'</t>
  </si>
  <si>
    <t>PETERSHAGEN-WASSERSTR.</t>
  </si>
  <si>
    <t>52°28'</t>
  </si>
  <si>
    <t>09°07'</t>
  </si>
  <si>
    <t>PLETTENBERG</t>
  </si>
  <si>
    <t>PULHEIM-BRAUWEILER</t>
  </si>
  <si>
    <t>RADEVORMWALD</t>
  </si>
  <si>
    <t>RAESFELD-ERLE</t>
  </si>
  <si>
    <t>06°51'</t>
  </si>
  <si>
    <t>RAHDEN-PREUSS.STROEHEN</t>
  </si>
  <si>
    <t>52°30'</t>
  </si>
  <si>
    <t>RAHDEN-VARL</t>
  </si>
  <si>
    <t>52°26'</t>
  </si>
  <si>
    <t>08°34'</t>
  </si>
  <si>
    <t>RATINGEN</t>
  </si>
  <si>
    <t>RECKLINGHAUSEN</t>
  </si>
  <si>
    <t>REKEN-GROSS REKEN</t>
  </si>
  <si>
    <t>REMSCHEID (ESCHBACHTAL)</t>
  </si>
  <si>
    <t>REMSCHEID-LENNEP</t>
  </si>
  <si>
    <t>07°17'</t>
  </si>
  <si>
    <t>RHEINBACH</t>
  </si>
  <si>
    <t>50°37'</t>
  </si>
  <si>
    <t>06°56'</t>
  </si>
  <si>
    <t>RHEINBERG</t>
  </si>
  <si>
    <t>51°33'</t>
  </si>
  <si>
    <t>RHEINE</t>
  </si>
  <si>
    <t>RIETBERG</t>
  </si>
  <si>
    <t>08°26'</t>
  </si>
  <si>
    <t>ROEDINGHAUSEN</t>
  </si>
  <si>
    <t>52°15'</t>
  </si>
  <si>
    <t>ROESRATH-FORSBACH</t>
  </si>
  <si>
    <t>ROETGEN</t>
  </si>
  <si>
    <t>ROETGEN (NST)</t>
  </si>
  <si>
    <t>RUETHEN</t>
  </si>
  <si>
    <t>RUPPICHTEROTH-BROELECK</t>
  </si>
  <si>
    <t>RUPPICHTEROTH-SCHEID</t>
  </si>
  <si>
    <t>SALZKOTTEN</t>
  </si>
  <si>
    <t>SALZUFLEN,BAD (AWST)</t>
  </si>
  <si>
    <t>SANKT AUGUSTIN-HANGELAR</t>
  </si>
  <si>
    <t>SASSENDORF,BAD-BEUSINGSN</t>
  </si>
  <si>
    <t>08°10'</t>
  </si>
  <si>
    <t>SASSENDORF,BAD-OSTINGHS.</t>
  </si>
  <si>
    <t>SCHIEDER</t>
  </si>
  <si>
    <t>09°09'</t>
  </si>
  <si>
    <t>SCHIEDER-KAMERUN</t>
  </si>
  <si>
    <t>SCHLEIDEN-GEMUEND</t>
  </si>
  <si>
    <t>SCHLEIDEN-SCHOENESEIFFEN</t>
  </si>
  <si>
    <t>SCHMALLENBERG-BOEDEFELD</t>
  </si>
  <si>
    <t>SCHMALLENBERG-FLECKENBG.</t>
  </si>
  <si>
    <t>SCHMALLENBERG-SELLINGHS.</t>
  </si>
  <si>
    <t>SCHOEPPINGEN</t>
  </si>
  <si>
    <t>SCHWERTE</t>
  </si>
  <si>
    <t>SELFKANT-HAVERT</t>
  </si>
  <si>
    <t>05°54'</t>
  </si>
  <si>
    <t>SENDEN-OTTMARSBOCHOLT</t>
  </si>
  <si>
    <t>SIEGBURG</t>
  </si>
  <si>
    <t>SIEGEN</t>
  </si>
  <si>
    <t>50°52'</t>
  </si>
  <si>
    <t>SIEGEN-EISERFELD</t>
  </si>
  <si>
    <t>07°59'</t>
  </si>
  <si>
    <t>SIMMERATH(KALLTALSPERRE)</t>
  </si>
  <si>
    <t>SOEST</t>
  </si>
  <si>
    <t>SOLINGEN-GLUEDER</t>
  </si>
  <si>
    <t>SOLINGEN-HOHENSCHEID</t>
  </si>
  <si>
    <t>SPROCKHOEVEL-HASSLINGHS.</t>
  </si>
  <si>
    <t>STADTLOHN</t>
  </si>
  <si>
    <t>STEINFURT-BURGSTEINFURT</t>
  </si>
  <si>
    <t>STEINHAGEN-BROCKHAGEN</t>
  </si>
  <si>
    <t>52°00'</t>
  </si>
  <si>
    <t>08°20'</t>
  </si>
  <si>
    <t>STEINHEIM,KR.HOEXTER</t>
  </si>
  <si>
    <t>STOLBERG-SCHEVENHUETTE</t>
  </si>
  <si>
    <t>STRAELEN</t>
  </si>
  <si>
    <t>06°16'</t>
  </si>
  <si>
    <t>STROMBERG,KR.WARENDORF</t>
  </si>
  <si>
    <t>SUNDERN-ALLENDORF</t>
  </si>
  <si>
    <t>07°57'</t>
  </si>
  <si>
    <t>SUNDERN-HELLEFELD</t>
  </si>
  <si>
    <t>SUNDERN-LANGSCHEID</t>
  </si>
  <si>
    <t>SUNDERN-ROEHRENSPRING</t>
  </si>
  <si>
    <t>08°02'</t>
  </si>
  <si>
    <t>TECKLENBURG</t>
  </si>
  <si>
    <t>52°13'</t>
  </si>
  <si>
    <t>TELGTE</t>
  </si>
  <si>
    <t>TOENISVORST</t>
  </si>
  <si>
    <t>VELBERT-LANGENBERG</t>
  </si>
  <si>
    <t>VERSETALSPERRE</t>
  </si>
  <si>
    <t>VERSMOLD</t>
  </si>
  <si>
    <t>VIERSEN</t>
  </si>
  <si>
    <t>VLOTHO-VALDORF</t>
  </si>
  <si>
    <t>VOERDE-MEHRUM</t>
  </si>
  <si>
    <t>06°37'</t>
  </si>
  <si>
    <t>WACHTBERG-BERKUM</t>
  </si>
  <si>
    <t>WADERSLOH</t>
  </si>
  <si>
    <t>WAHLERSCHEID</t>
  </si>
  <si>
    <t>06°20'</t>
  </si>
  <si>
    <t>WALDBROEL</t>
  </si>
  <si>
    <t>WALDFEUCHT-HAAREN</t>
  </si>
  <si>
    <t>06°01'</t>
  </si>
  <si>
    <t>WALTROP</t>
  </si>
  <si>
    <t>WALTROP (IM DEPOT)</t>
  </si>
  <si>
    <t>WARBURG</t>
  </si>
  <si>
    <t>WARBURG-HOHENWEPEL</t>
  </si>
  <si>
    <t>WARENDORF</t>
  </si>
  <si>
    <t>WARENDORF-HOETMAR</t>
  </si>
  <si>
    <t>WARSTEIN</t>
  </si>
  <si>
    <t>WARSTEIN-BELECKE</t>
  </si>
  <si>
    <t>WARSTEIN-HIRSCHBERG</t>
  </si>
  <si>
    <t>WEEZE-HEES</t>
  </si>
  <si>
    <t>WEILERSWIST-LOMMERSUM</t>
  </si>
  <si>
    <t>WELVER</t>
  </si>
  <si>
    <t>WENDEN-ROEMERSHAGEN</t>
  </si>
  <si>
    <t>WERL-HILBECK</t>
  </si>
  <si>
    <t>WERMELSKIRCHEN</t>
  </si>
  <si>
    <t>07°11'</t>
  </si>
  <si>
    <t>WERNE-WESSEL</t>
  </si>
  <si>
    <t>WERTHER</t>
  </si>
  <si>
    <t>52°04'</t>
  </si>
  <si>
    <t>WESEL-FLUEREN</t>
  </si>
  <si>
    <t>WESTERKAPPELN</t>
  </si>
  <si>
    <t>52°17'</t>
  </si>
  <si>
    <t>WETTER/RUHR</t>
  </si>
  <si>
    <t>WICKEDE/RUHR-ECHTHAUSEN</t>
  </si>
  <si>
    <t>WIEHL</t>
  </si>
  <si>
    <t>WILLEBADESSEN-BORLINGHS.</t>
  </si>
  <si>
    <t>WILLERTSHAGEN</t>
  </si>
  <si>
    <t>WINDECK-DATTENFELD</t>
  </si>
  <si>
    <t>WINDECK-DISTELSHAUSEN</t>
  </si>
  <si>
    <t>WINTERBERG</t>
  </si>
  <si>
    <t>WINTERBERG-ALTASTENBERG</t>
  </si>
  <si>
    <t>WINTERBERG-ZUESCHEN</t>
  </si>
  <si>
    <t>WIPPERFUERTH(SCHEV.TAL.)</t>
  </si>
  <si>
    <t>WIPPERFUERTH-GARDEWEG</t>
  </si>
  <si>
    <t>WITTEN-GEDERN</t>
  </si>
  <si>
    <t>WITTEN-HOHENSTEIN</t>
  </si>
  <si>
    <t>WITTEN-STOCKUM</t>
  </si>
  <si>
    <t>WUENNEBERG-EILERN</t>
  </si>
  <si>
    <t>08°46'</t>
  </si>
  <si>
    <t>WUPPERTAL-BARMEN</t>
  </si>
  <si>
    <t>WUPPERTAL-BUCHENHOFEN</t>
  </si>
  <si>
    <t>WUPPERTAL-HERBRINGHAUSEN</t>
  </si>
  <si>
    <t>WUPPERTAL-VOHWINKEL</t>
  </si>
  <si>
    <t>XANTEN</t>
  </si>
  <si>
    <t>ZUELPICH</t>
  </si>
  <si>
    <t>50°41'</t>
  </si>
  <si>
    <t>Gebrauchsanweisung</t>
  </si>
  <si>
    <t>Eingaben sind generell nur in den gelb unterlegten Zellen möglich</t>
  </si>
  <si>
    <t>Die ausgewiesenen Zuschläge für Niederschlagswasser werden aus der Eingabe der Jahresniederschläge berechnet.</t>
  </si>
  <si>
    <t>Anschließend werden die Tierzahlen für  Rindvieh in der "Eingabemaske Rindvieh" eingegeben, Schweine und Pferde Geflügel und Schafe direkt in die entsprechenden Arbeitsblätter und der zutreffenden Haltungsformen eingetragen.</t>
  </si>
  <si>
    <t>Die empfohlenen Werte  für Milchvieh ergeben sich  aus der Arbeit von  Dr. Pries, Annette Menke aus 2006 als Mittelwert aus Grünland und Ackerbaustandorten zu den entsprechenden Leistungsklassen.</t>
  </si>
  <si>
    <t>Im Blatt sonstige Abwässer werden verschmutzte Hofflächen, evtl. aufzufangende häusliche Abwässer eingetragen.</t>
  </si>
  <si>
    <t>Im Blatt Übersicht werden die Daten zusammengefasst dargestellt und in der Zelle Differenz die notwendige mit der geplanten Gülle- bzw. Festmistlagermenge verglichen.</t>
  </si>
  <si>
    <t>Übersichtsblatt zur Berechnung des Anfalls von Gülle und Jauche</t>
  </si>
  <si>
    <t>Mengen nach DüVO</t>
  </si>
  <si>
    <t>jährliche Ausbringmenge</t>
  </si>
  <si>
    <t>Jahresgülleanfall für</t>
  </si>
  <si>
    <t>Betrieb Name, Ort</t>
  </si>
  <si>
    <t>Förderung von Maschinen und Geräten der Außenwirtschaft nach Anlage 5 Teil A RL-EFP</t>
  </si>
  <si>
    <t xml:space="preserve">Berechnet wird standardmäßig nach den Mindestvorgaben der Dünge-VO.  </t>
  </si>
  <si>
    <t>Landesbetrieb Landwirtschaft Hessen</t>
  </si>
  <si>
    <t>Daraus leiten sich ab maximal förderfähige Kosten von 50 €/m³ auszubringender Menge bzw. bis zu maximal als förderfähig anzuerkennende Kosten von: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</si>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</sst>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8">
    <numFmt numFmtId="164" formatCode="_-* #,##0\ &quot;DM&quot;_-;\-* #,##0\ &quot;DM&quot;_-;_-* &quot;-&quot;\ &quot;DM&quot;_-;_-@_-"/>
    <numFmt numFmtId="165" formatCode="#,##0\ [$€-1]"/>
    <numFmt numFmtId="166" formatCode="0&quot;%&quot;"/>
    <numFmt numFmtId="167" formatCode="#,##0\ [$€-1];\-#,##0\ [$€-1]"/>
    <numFmt numFmtId="168" formatCode="0.0"/>
    <numFmt numFmtId="169" formatCode="#,##0\ &quot;m³&quot;"/>
    <numFmt numFmtId="170" formatCode="&quot;davon anrechenbar für&quot;\ 0&quot; Monate:&quot;"/>
    <numFmt numFmtId="171" formatCode="#,###&quot;m²&quot;"/>
    <numFmt numFmtId="172" formatCode="#,##0.00&quot;m&quot;"/>
    <numFmt numFmtId="173" formatCode="0\ &quot;cm&quot;"/>
    <numFmt numFmtId="174" formatCode="0.000"/>
    <numFmt numFmtId="175" formatCode="General\ &quot;cm&quot;"/>
    <numFmt numFmtId="176" formatCode="&quot;davon anrechenbar für&quot;\ 0&quot; Monate&quot;"/>
    <numFmt numFmtId="177" formatCode="&quot;für&quot;\ 0&quot; Monate&quot;"/>
    <numFmt numFmtId="178" formatCode="0\ &quot;kg/m³&quot;"/>
    <numFmt numFmtId="179" formatCode="_-* #,##0.00\ &quot;DM&quot;_-;\-* #,##0.00\ &quot;DM&quot;_-;_-* &quot;-&quot;??\ &quot;DM&quot;_-;_-@_-"/>
    <numFmt numFmtId="180" formatCode="0\ &quot;m³&quot;"/>
    <numFmt numFmtId="181" formatCode="#,##0\ &quot;€&quot;"/>
  </numFmts>
  <fonts count="28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4"/>
      <name val="Arial"/>
      <family val="2"/>
    </font>
    <font>
      <b/>
      <sz val="11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trike/>
      <sz val="8"/>
      <name val="Arial"/>
      <family val="2"/>
    </font>
    <font>
      <b/>
      <sz val="7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sz val="10"/>
      <color indexed="53"/>
      <name val="MS Sans Serif"/>
      <family val="2"/>
    </font>
    <font>
      <sz val="10"/>
      <color indexed="53"/>
      <name val="Helv"/>
    </font>
    <font>
      <sz val="12"/>
      <color indexed="10"/>
      <name val="MS Sans Serif"/>
      <family val="2"/>
    </font>
    <font>
      <sz val="14"/>
      <color rgb="FFFF0000"/>
      <name val="Arial"/>
      <family val="2"/>
    </font>
    <font>
      <sz val="7"/>
      <name val="Arial"/>
      <family val="2"/>
    </font>
    <font>
      <sz val="11"/>
      <name val="Arial"/>
      <family val="2"/>
    </font>
    <font>
      <sz val="10"/>
      <color rgb="FF333333"/>
      <name val="Segoe UI"/>
      <family val="2"/>
    </font>
    <font>
      <b/>
      <sz val="16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lightTrellis"/>
    </fill>
    <fill>
      <patternFill patternType="lightTrellis">
        <bgColor indexed="22"/>
      </patternFill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auto="1"/>
        <bgColor indexed="64"/>
      </patternFill>
    </fill>
  </fills>
  <borders count="7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1">
    <xf numFmtId="0" fontId="0" fillId="0" borderId="0"/>
    <xf numFmtId="3" fontId="18" fillId="0" borderId="0"/>
    <xf numFmtId="3" fontId="18" fillId="0" borderId="0"/>
    <xf numFmtId="3" fontId="18" fillId="0" borderId="0"/>
    <xf numFmtId="3" fontId="18" fillId="0" borderId="0"/>
    <xf numFmtId="0" fontId="18" fillId="0" borderId="0"/>
    <xf numFmtId="3" fontId="18" fillId="0" borderId="0"/>
    <xf numFmtId="3" fontId="18" fillId="0" borderId="0"/>
    <xf numFmtId="3" fontId="18" fillId="0" borderId="0"/>
    <xf numFmtId="179" fontId="18" fillId="0" borderId="0"/>
    <xf numFmtId="0" fontId="1" fillId="0" borderId="0"/>
  </cellStyleXfs>
  <cellXfs count="681">
    <xf numFmtId="0" fontId="0" fillId="0" borderId="0" xfId="0"/>
    <xf numFmtId="14" fontId="2" fillId="0" borderId="0" xfId="3" applyNumberFormat="1" applyFont="1"/>
    <xf numFmtId="3" fontId="2" fillId="0" borderId="2" xfId="2" applyFont="1" applyBorder="1"/>
    <xf numFmtId="0" fontId="4" fillId="0" borderId="2" xfId="0" applyFont="1" applyBorder="1"/>
    <xf numFmtId="0" fontId="0" fillId="0" borderId="2" xfId="0" applyBorder="1"/>
    <xf numFmtId="3" fontId="6" fillId="0" borderId="0" xfId="3" applyFont="1"/>
    <xf numFmtId="3" fontId="7" fillId="0" borderId="0" xfId="3" applyFont="1"/>
    <xf numFmtId="3" fontId="2" fillId="0" borderId="0" xfId="1" applyFont="1"/>
    <xf numFmtId="49" fontId="13" fillId="3" borderId="6" xfId="0" applyNumberFormat="1" applyFont="1" applyFill="1" applyBorder="1" applyAlignment="1">
      <alignment horizontal="center"/>
    </xf>
    <xf numFmtId="49" fontId="13" fillId="3" borderId="7" xfId="0" applyNumberFormat="1" applyFont="1" applyFill="1" applyBorder="1" applyAlignment="1">
      <alignment horizontal="center"/>
    </xf>
    <xf numFmtId="49" fontId="13" fillId="3" borderId="8" xfId="0" applyNumberFormat="1" applyFont="1" applyFill="1" applyBorder="1" applyAlignment="1">
      <alignment horizontal="center"/>
    </xf>
    <xf numFmtId="0" fontId="13" fillId="3" borderId="8" xfId="0" applyFont="1" applyFill="1" applyBorder="1" applyAlignment="1">
      <alignment horizontal="center"/>
    </xf>
    <xf numFmtId="2" fontId="13" fillId="3" borderId="6" xfId="0" applyNumberFormat="1" applyFont="1" applyFill="1" applyBorder="1" applyAlignment="1">
      <alignment horizontal="center"/>
    </xf>
    <xf numFmtId="0" fontId="0" fillId="0" borderId="0" xfId="0" applyAlignment="1" applyProtection="1">
      <alignment horizontal="left"/>
      <protection locked="0"/>
    </xf>
    <xf numFmtId="0" fontId="14" fillId="2" borderId="3" xfId="0" applyFont="1" applyFill="1" applyBorder="1" applyAlignment="1" applyProtection="1">
      <alignment horizontal="center"/>
      <protection locked="0"/>
    </xf>
    <xf numFmtId="0" fontId="14" fillId="2" borderId="3" xfId="0" applyFont="1" applyFill="1" applyBorder="1" applyProtection="1">
      <protection locked="0"/>
    </xf>
    <xf numFmtId="49" fontId="13" fillId="3" borderId="11" xfId="0" applyNumberFormat="1" applyFont="1" applyFill="1" applyBorder="1" applyAlignment="1">
      <alignment horizontal="center"/>
    </xf>
    <xf numFmtId="49" fontId="13" fillId="3" borderId="12" xfId="0" applyNumberFormat="1" applyFont="1" applyFill="1" applyBorder="1" applyAlignment="1">
      <alignment horizontal="center"/>
    </xf>
    <xf numFmtId="49" fontId="13" fillId="3" borderId="13" xfId="0" applyNumberFormat="1" applyFont="1" applyFill="1" applyBorder="1" applyAlignment="1">
      <alignment horizontal="center"/>
    </xf>
    <xf numFmtId="0" fontId="13" fillId="3" borderId="13" xfId="0" applyFont="1" applyFill="1" applyBorder="1" applyAlignment="1">
      <alignment horizontal="center"/>
    </xf>
    <xf numFmtId="2" fontId="13" fillId="3" borderId="11" xfId="0" applyNumberFormat="1" applyFont="1" applyFill="1" applyBorder="1" applyAlignment="1">
      <alignment horizontal="center"/>
    </xf>
    <xf numFmtId="0" fontId="14" fillId="2" borderId="10" xfId="0" applyFont="1" applyFill="1" applyBorder="1" applyAlignment="1" applyProtection="1">
      <alignment horizontal="center"/>
      <protection locked="0"/>
    </xf>
    <xf numFmtId="0" fontId="14" fillId="2" borderId="10" xfId="0" applyFont="1" applyFill="1" applyBorder="1" applyProtection="1">
      <protection locked="0"/>
    </xf>
    <xf numFmtId="2" fontId="13" fillId="3" borderId="9" xfId="0" applyNumberFormat="1" applyFont="1" applyFill="1" applyBorder="1" applyAlignment="1">
      <alignment horizontal="center"/>
    </xf>
    <xf numFmtId="2" fontId="13" fillId="3" borderId="14" xfId="0" applyNumberFormat="1" applyFont="1" applyFill="1" applyBorder="1" applyAlignment="1">
      <alignment horizontal="center"/>
    </xf>
    <xf numFmtId="2" fontId="13" fillId="0" borderId="6" xfId="0" applyNumberFormat="1" applyFont="1" applyBorder="1" applyAlignment="1" applyProtection="1">
      <alignment horizontal="right"/>
      <protection hidden="1"/>
    </xf>
    <xf numFmtId="0" fontId="0" fillId="0" borderId="6" xfId="0" applyBorder="1" applyProtection="1">
      <protection hidden="1"/>
    </xf>
    <xf numFmtId="2" fontId="13" fillId="0" borderId="6" xfId="0" applyNumberFormat="1" applyFont="1" applyBorder="1" applyAlignment="1" applyProtection="1">
      <alignment horizontal="center"/>
      <protection hidden="1"/>
    </xf>
    <xf numFmtId="2" fontId="13" fillId="0" borderId="8" xfId="0" applyNumberFormat="1" applyFont="1" applyBorder="1" applyAlignment="1" applyProtection="1">
      <alignment horizontal="center"/>
      <protection hidden="1"/>
    </xf>
    <xf numFmtId="2" fontId="13" fillId="0" borderId="11" xfId="0" applyNumberFormat="1" applyFont="1" applyBorder="1" applyAlignment="1" applyProtection="1">
      <alignment horizontal="center"/>
      <protection hidden="1"/>
    </xf>
    <xf numFmtId="2" fontId="13" fillId="0" borderId="13" xfId="0" applyNumberFormat="1" applyFont="1" applyBorder="1" applyAlignment="1" applyProtection="1">
      <alignment horizontal="center"/>
      <protection hidden="1"/>
    </xf>
    <xf numFmtId="49" fontId="13" fillId="0" borderId="6" xfId="0" applyNumberFormat="1" applyFont="1" applyBorder="1" applyAlignment="1" applyProtection="1">
      <alignment horizontal="center"/>
      <protection hidden="1"/>
    </xf>
    <xf numFmtId="2" fontId="13" fillId="0" borderId="8" xfId="0" applyNumberFormat="1" applyFont="1" applyBorder="1" applyAlignment="1" applyProtection="1">
      <alignment horizontal="right"/>
      <protection hidden="1"/>
    </xf>
    <xf numFmtId="2" fontId="13" fillId="0" borderId="11" xfId="0" applyNumberFormat="1" applyFont="1" applyBorder="1" applyAlignment="1" applyProtection="1">
      <alignment horizontal="right"/>
      <protection hidden="1"/>
    </xf>
    <xf numFmtId="2" fontId="13" fillId="0" borderId="13" xfId="0" applyNumberFormat="1" applyFont="1" applyBorder="1" applyAlignment="1" applyProtection="1">
      <alignment horizontal="right"/>
      <protection hidden="1"/>
    </xf>
    <xf numFmtId="0" fontId="14" fillId="0" borderId="18" xfId="0" applyFont="1" applyBorder="1" applyAlignment="1">
      <alignment horizontal="center" wrapText="1"/>
    </xf>
    <xf numFmtId="0" fontId="14" fillId="0" borderId="21" xfId="0" applyFont="1" applyBorder="1" applyAlignment="1">
      <alignment horizontal="center" wrapText="1"/>
    </xf>
    <xf numFmtId="0" fontId="13" fillId="0" borderId="22" xfId="0" applyFont="1" applyBorder="1"/>
    <xf numFmtId="0" fontId="13" fillId="0" borderId="0" xfId="0" applyFont="1"/>
    <xf numFmtId="4" fontId="14" fillId="0" borderId="18" xfId="0" applyNumberFormat="1" applyFont="1" applyBorder="1" applyAlignment="1">
      <alignment horizontal="center" wrapText="1"/>
    </xf>
    <xf numFmtId="0" fontId="14" fillId="0" borderId="23" xfId="0" applyFont="1" applyBorder="1" applyAlignment="1">
      <alignment horizontal="center" wrapText="1"/>
    </xf>
    <xf numFmtId="0" fontId="14" fillId="0" borderId="18" xfId="0" applyFont="1" applyBorder="1" applyAlignment="1" applyProtection="1">
      <alignment horizontal="center" wrapText="1"/>
      <protection hidden="1"/>
    </xf>
    <xf numFmtId="0" fontId="13" fillId="0" borderId="3" xfId="0" applyFont="1" applyBorder="1" applyProtection="1">
      <protection hidden="1"/>
    </xf>
    <xf numFmtId="0" fontId="14" fillId="0" borderId="30" xfId="0" applyFont="1" applyBorder="1" applyAlignment="1" applyProtection="1">
      <alignment horizontal="center"/>
      <protection hidden="1"/>
    </xf>
    <xf numFmtId="3" fontId="13" fillId="0" borderId="30" xfId="0" applyNumberFormat="1" applyFont="1" applyBorder="1" applyAlignment="1" applyProtection="1">
      <alignment horizontal="center"/>
      <protection hidden="1"/>
    </xf>
    <xf numFmtId="0" fontId="13" fillId="0" borderId="30" xfId="0" applyFont="1" applyBorder="1" applyAlignment="1" applyProtection="1">
      <alignment horizontal="center"/>
      <protection hidden="1"/>
    </xf>
    <xf numFmtId="3" fontId="13" fillId="0" borderId="31" xfId="0" applyNumberFormat="1" applyFont="1" applyBorder="1" applyAlignment="1" applyProtection="1">
      <alignment horizontal="center"/>
      <protection hidden="1"/>
    </xf>
    <xf numFmtId="0" fontId="13" fillId="0" borderId="32" xfId="0" applyFont="1" applyBorder="1" applyAlignment="1" applyProtection="1">
      <alignment horizontal="center"/>
      <protection hidden="1"/>
    </xf>
    <xf numFmtId="0" fontId="13" fillId="0" borderId="29" xfId="0" applyFont="1" applyBorder="1" applyAlignment="1" applyProtection="1">
      <alignment horizontal="center"/>
      <protection hidden="1"/>
    </xf>
    <xf numFmtId="0" fontId="16" fillId="0" borderId="33" xfId="0" applyFont="1" applyBorder="1" applyAlignment="1" applyProtection="1">
      <alignment horizontal="center" textRotation="90"/>
      <protection hidden="1"/>
    </xf>
    <xf numFmtId="0" fontId="16" fillId="0" borderId="0" xfId="0" applyFont="1" applyAlignment="1" applyProtection="1">
      <alignment horizontal="center" textRotation="90"/>
      <protection hidden="1"/>
    </xf>
    <xf numFmtId="0" fontId="14" fillId="0" borderId="12" xfId="0" applyFont="1" applyBorder="1" applyAlignment="1" applyProtection="1">
      <alignment horizontal="center" textRotation="90"/>
      <protection hidden="1"/>
    </xf>
    <xf numFmtId="0" fontId="12" fillId="0" borderId="33" xfId="0" applyFont="1" applyBorder="1" applyAlignment="1" applyProtection="1">
      <alignment horizontal="center" textRotation="90" wrapText="1"/>
      <protection hidden="1"/>
    </xf>
    <xf numFmtId="0" fontId="16" fillId="0" borderId="0" xfId="0" applyFont="1" applyAlignment="1" applyProtection="1">
      <alignment horizontal="center" textRotation="90" wrapText="1"/>
      <protection hidden="1"/>
    </xf>
    <xf numFmtId="0" fontId="16" fillId="0" borderId="12" xfId="0" applyFont="1" applyBorder="1" applyAlignment="1" applyProtection="1">
      <alignment horizontal="center" textRotation="90" wrapText="1"/>
      <protection hidden="1"/>
    </xf>
    <xf numFmtId="0" fontId="8" fillId="0" borderId="0" xfId="0" applyFont="1" applyProtection="1">
      <protection hidden="1"/>
    </xf>
    <xf numFmtId="0" fontId="13" fillId="0" borderId="6" xfId="0" applyFont="1" applyBorder="1" applyAlignment="1" applyProtection="1">
      <alignment wrapText="1"/>
      <protection hidden="1"/>
    </xf>
    <xf numFmtId="0" fontId="13" fillId="0" borderId="11" xfId="0" applyFont="1" applyBorder="1" applyAlignment="1" applyProtection="1">
      <alignment wrapText="1"/>
      <protection hidden="1"/>
    </xf>
    <xf numFmtId="0" fontId="13" fillId="0" borderId="25" xfId="0" applyFont="1" applyBorder="1" applyAlignment="1" applyProtection="1">
      <alignment wrapText="1"/>
      <protection hidden="1"/>
    </xf>
    <xf numFmtId="0" fontId="13" fillId="0" borderId="34" xfId="0" applyFont="1" applyBorder="1" applyAlignment="1" applyProtection="1">
      <alignment horizontal="center"/>
      <protection hidden="1"/>
    </xf>
    <xf numFmtId="3" fontId="13" fillId="0" borderId="35" xfId="0" applyNumberFormat="1" applyFont="1" applyBorder="1" applyAlignment="1" applyProtection="1">
      <alignment horizontal="center"/>
      <protection hidden="1"/>
    </xf>
    <xf numFmtId="3" fontId="13" fillId="0" borderId="36" xfId="0" applyNumberFormat="1" applyFont="1" applyBorder="1" applyAlignment="1" applyProtection="1">
      <alignment horizontal="center"/>
      <protection hidden="1"/>
    </xf>
    <xf numFmtId="3" fontId="13" fillId="0" borderId="7" xfId="0" applyNumberFormat="1" applyFont="1" applyBorder="1" applyAlignment="1" applyProtection="1">
      <alignment horizontal="center"/>
      <protection hidden="1"/>
    </xf>
    <xf numFmtId="0" fontId="13" fillId="0" borderId="37" xfId="0" applyFont="1" applyBorder="1" applyAlignment="1" applyProtection="1">
      <alignment horizontal="center"/>
      <protection hidden="1"/>
    </xf>
    <xf numFmtId="3" fontId="13" fillId="0" borderId="27" xfId="0" applyNumberFormat="1" applyFont="1" applyBorder="1" applyAlignment="1" applyProtection="1">
      <alignment horizontal="center" vertical="center"/>
      <protection hidden="1"/>
    </xf>
    <xf numFmtId="0" fontId="13" fillId="0" borderId="32" xfId="0" applyFont="1" applyBorder="1" applyAlignment="1" applyProtection="1">
      <alignment horizontal="left"/>
      <protection hidden="1"/>
    </xf>
    <xf numFmtId="0" fontId="0" fillId="0" borderId="32" xfId="0" applyBorder="1" applyProtection="1">
      <protection hidden="1"/>
    </xf>
    <xf numFmtId="0" fontId="10" fillId="0" borderId="32" xfId="0" applyFont="1" applyBorder="1" applyAlignment="1" applyProtection="1">
      <alignment horizontal="center"/>
      <protection hidden="1"/>
    </xf>
    <xf numFmtId="0" fontId="10" fillId="0" borderId="29" xfId="0" applyFont="1" applyBorder="1" applyAlignment="1" applyProtection="1">
      <alignment horizontal="center"/>
      <protection hidden="1"/>
    </xf>
    <xf numFmtId="0" fontId="8" fillId="0" borderId="6" xfId="0" applyFont="1" applyBorder="1" applyProtection="1">
      <protection hidden="1"/>
    </xf>
    <xf numFmtId="3" fontId="2" fillId="0" borderId="6" xfId="3" applyFont="1" applyBorder="1" applyAlignment="1" applyProtection="1">
      <alignment horizontal="left"/>
      <protection hidden="1"/>
    </xf>
    <xf numFmtId="3" fontId="2" fillId="0" borderId="11" xfId="3" applyFont="1" applyBorder="1" applyAlignment="1" applyProtection="1">
      <alignment horizontal="left"/>
      <protection hidden="1"/>
    </xf>
    <xf numFmtId="3" fontId="14" fillId="0" borderId="0" xfId="0" applyNumberFormat="1" applyFont="1" applyProtection="1">
      <protection hidden="1"/>
    </xf>
    <xf numFmtId="0" fontId="18" fillId="0" borderId="0" xfId="0" applyFont="1"/>
    <xf numFmtId="0" fontId="2" fillId="0" borderId="0" xfId="0" applyFont="1" applyProtection="1">
      <protection hidden="1"/>
    </xf>
    <xf numFmtId="0" fontId="9" fillId="0" borderId="0" xfId="0" applyFont="1" applyAlignment="1" applyProtection="1">
      <alignment horizontal="center"/>
      <protection hidden="1"/>
    </xf>
    <xf numFmtId="0" fontId="18" fillId="0" borderId="28" xfId="0" applyFont="1" applyBorder="1" applyAlignment="1" applyProtection="1">
      <alignment horizontal="left" vertical="top" wrapText="1" indent="1"/>
      <protection hidden="1"/>
    </xf>
    <xf numFmtId="0" fontId="18" fillId="0" borderId="29" xfId="0" applyFont="1" applyBorder="1" applyAlignment="1" applyProtection="1">
      <alignment vertical="top" wrapText="1"/>
      <protection hidden="1"/>
    </xf>
    <xf numFmtId="0" fontId="18" fillId="0" borderId="44" xfId="0" applyFont="1" applyBorder="1" applyAlignment="1" applyProtection="1">
      <alignment vertical="top" wrapText="1"/>
      <protection hidden="1"/>
    </xf>
    <xf numFmtId="0" fontId="14" fillId="0" borderId="45" xfId="0" applyFont="1" applyBorder="1" applyAlignment="1" applyProtection="1">
      <alignment horizontal="center"/>
      <protection hidden="1"/>
    </xf>
    <xf numFmtId="0" fontId="13" fillId="0" borderId="45" xfId="0" applyFont="1" applyBorder="1" applyAlignment="1" applyProtection="1">
      <alignment horizontal="center"/>
      <protection hidden="1"/>
    </xf>
    <xf numFmtId="0" fontId="8" fillId="0" borderId="0" xfId="0" applyFont="1" applyAlignment="1" applyProtection="1">
      <alignment horizontal="left"/>
      <protection hidden="1"/>
    </xf>
    <xf numFmtId="0" fontId="0" fillId="0" borderId="0" xfId="0" applyAlignment="1" applyProtection="1">
      <alignment horizontal="right" wrapText="1"/>
      <protection hidden="1"/>
    </xf>
    <xf numFmtId="3" fontId="10" fillId="0" borderId="0" xfId="3" applyFont="1" applyProtection="1">
      <protection hidden="1"/>
    </xf>
    <xf numFmtId="3" fontId="10" fillId="0" borderId="0" xfId="3" applyFont="1" applyAlignment="1" applyProtection="1">
      <alignment horizontal="right"/>
      <protection hidden="1"/>
    </xf>
    <xf numFmtId="164" fontId="10" fillId="0" borderId="0" xfId="7" applyNumberFormat="1" applyFont="1" applyAlignment="1" applyProtection="1">
      <alignment horizontal="left"/>
      <protection hidden="1"/>
    </xf>
    <xf numFmtId="164" fontId="2" fillId="0" borderId="0" xfId="7" applyNumberFormat="1" applyFont="1" applyAlignment="1" applyProtection="1">
      <alignment horizontal="left"/>
      <protection hidden="1"/>
    </xf>
    <xf numFmtId="165" fontId="2" fillId="0" borderId="0" xfId="7" applyNumberFormat="1" applyFont="1" applyAlignment="1" applyProtection="1">
      <alignment horizontal="right"/>
      <protection hidden="1"/>
    </xf>
    <xf numFmtId="3" fontId="2" fillId="0" borderId="0" xfId="3" applyFont="1" applyAlignment="1" applyProtection="1">
      <alignment horizontal="right" wrapText="1"/>
      <protection hidden="1"/>
    </xf>
    <xf numFmtId="3" fontId="10" fillId="0" borderId="0" xfId="3" applyFont="1" applyAlignment="1" applyProtection="1">
      <alignment horizontal="center"/>
      <protection hidden="1"/>
    </xf>
    <xf numFmtId="3" fontId="2" fillId="0" borderId="0" xfId="3" applyFont="1" applyAlignment="1" applyProtection="1">
      <alignment horizontal="left"/>
      <protection hidden="1"/>
    </xf>
    <xf numFmtId="0" fontId="14" fillId="0" borderId="46" xfId="0" applyFont="1" applyBorder="1" applyAlignment="1" applyProtection="1">
      <alignment horizontal="center" textRotation="90" wrapText="1"/>
      <protection hidden="1"/>
    </xf>
    <xf numFmtId="0" fontId="13" fillId="0" borderId="23" xfId="0" applyFont="1" applyBorder="1" applyAlignment="1" applyProtection="1">
      <alignment horizontal="center" textRotation="90" wrapText="1"/>
      <protection hidden="1"/>
    </xf>
    <xf numFmtId="0" fontId="14" fillId="0" borderId="21" xfId="0" applyFont="1" applyBorder="1" applyAlignment="1" applyProtection="1">
      <alignment horizontal="center" textRotation="90" wrapText="1"/>
      <protection hidden="1"/>
    </xf>
    <xf numFmtId="0" fontId="13" fillId="0" borderId="47" xfId="0" applyFont="1" applyBorder="1" applyAlignment="1" applyProtection="1">
      <alignment horizontal="center" textRotation="90" wrapText="1"/>
      <protection hidden="1"/>
    </xf>
    <xf numFmtId="0" fontId="13" fillId="0" borderId="35" xfId="0" applyFont="1" applyBorder="1" applyAlignment="1" applyProtection="1">
      <alignment horizontal="center"/>
      <protection hidden="1"/>
    </xf>
    <xf numFmtId="0" fontId="13" fillId="0" borderId="48" xfId="0" applyFont="1" applyBorder="1" applyAlignment="1" applyProtection="1">
      <alignment horizontal="left" vertical="top" wrapText="1"/>
      <protection hidden="1"/>
    </xf>
    <xf numFmtId="0" fontId="12" fillId="0" borderId="28" xfId="0" applyFont="1" applyBorder="1" applyProtection="1">
      <protection hidden="1"/>
    </xf>
    <xf numFmtId="0" fontId="10" fillId="0" borderId="0" xfId="0" applyFont="1" applyProtection="1">
      <protection hidden="1"/>
    </xf>
    <xf numFmtId="0" fontId="10" fillId="0" borderId="0" xfId="5" applyFont="1" applyAlignment="1" applyProtection="1">
      <alignment horizontal="right"/>
      <protection hidden="1"/>
    </xf>
    <xf numFmtId="0" fontId="18" fillId="0" borderId="27" xfId="0" applyFont="1" applyBorder="1" applyAlignment="1" applyProtection="1">
      <alignment horizontal="left" vertical="top" wrapText="1" indent="1"/>
      <protection locked="0"/>
    </xf>
    <xf numFmtId="3" fontId="2" fillId="0" borderId="1" xfId="4" applyFont="1" applyBorder="1" applyProtection="1">
      <protection hidden="1"/>
    </xf>
    <xf numFmtId="3" fontId="2" fillId="0" borderId="0" xfId="3" applyFont="1" applyAlignment="1" applyProtection="1">
      <alignment horizontal="center"/>
      <protection hidden="1"/>
    </xf>
    <xf numFmtId="164" fontId="2" fillId="0" borderId="0" xfId="7" applyNumberFormat="1" applyFont="1" applyAlignment="1" applyProtection="1">
      <alignment horizontal="center"/>
      <protection hidden="1"/>
    </xf>
    <xf numFmtId="165" fontId="2" fillId="0" borderId="0" xfId="7" applyNumberFormat="1" applyFont="1" applyAlignment="1" applyProtection="1">
      <alignment horizontal="center"/>
      <protection hidden="1"/>
    </xf>
    <xf numFmtId="166" fontId="2" fillId="0" borderId="0" xfId="3" applyNumberFormat="1" applyFont="1" applyAlignment="1" applyProtection="1">
      <alignment horizontal="right"/>
      <protection hidden="1"/>
    </xf>
    <xf numFmtId="165" fontId="2" fillId="0" borderId="0" xfId="7" applyNumberFormat="1" applyFont="1" applyProtection="1">
      <protection hidden="1"/>
    </xf>
    <xf numFmtId="165" fontId="11" fillId="0" borderId="0" xfId="7" applyNumberFormat="1" applyFont="1" applyAlignment="1" applyProtection="1">
      <alignment horizontal="right"/>
      <protection hidden="1"/>
    </xf>
    <xf numFmtId="167" fontId="2" fillId="0" borderId="0" xfId="7" applyNumberFormat="1" applyFont="1" applyAlignment="1" applyProtection="1">
      <alignment horizontal="center"/>
      <protection hidden="1"/>
    </xf>
    <xf numFmtId="164" fontId="2" fillId="0" borderId="0" xfId="7" applyNumberFormat="1" applyFont="1" applyProtection="1">
      <protection hidden="1"/>
    </xf>
    <xf numFmtId="14" fontId="2" fillId="0" borderId="0" xfId="3" applyNumberFormat="1" applyFont="1" applyAlignment="1" applyProtection="1">
      <alignment horizontal="left"/>
      <protection hidden="1"/>
    </xf>
    <xf numFmtId="3" fontId="2" fillId="0" borderId="0" xfId="3" applyFont="1" applyProtection="1">
      <protection hidden="1"/>
    </xf>
    <xf numFmtId="3" fontId="2" fillId="0" borderId="0" xfId="3" applyFont="1" applyAlignment="1" applyProtection="1">
      <alignment horizontal="right"/>
      <protection hidden="1"/>
    </xf>
    <xf numFmtId="164" fontId="2" fillId="0" borderId="0" xfId="7" applyNumberFormat="1" applyFont="1" applyAlignment="1" applyProtection="1">
      <alignment horizontal="right"/>
      <protection hidden="1"/>
    </xf>
    <xf numFmtId="165" fontId="10" fillId="0" borderId="0" xfId="9" applyNumberFormat="1" applyFont="1" applyAlignment="1" applyProtection="1">
      <alignment horizontal="right"/>
      <protection hidden="1"/>
    </xf>
    <xf numFmtId="0" fontId="2" fillId="0" borderId="0" xfId="5" applyFont="1" applyProtection="1">
      <protection hidden="1"/>
    </xf>
    <xf numFmtId="0" fontId="2" fillId="0" borderId="0" xfId="5" applyFont="1" applyAlignment="1" applyProtection="1">
      <alignment horizontal="right"/>
      <protection hidden="1"/>
    </xf>
    <xf numFmtId="0" fontId="2" fillId="0" borderId="0" xfId="5" applyFont="1" applyAlignment="1" applyProtection="1">
      <alignment horizontal="left"/>
      <protection hidden="1"/>
    </xf>
    <xf numFmtId="3" fontId="2" fillId="0" borderId="0" xfId="6" applyFont="1" applyProtection="1">
      <protection hidden="1"/>
    </xf>
    <xf numFmtId="3" fontId="9" fillId="0" borderId="0" xfId="4" applyFont="1" applyAlignment="1" applyProtection="1">
      <alignment horizontal="left"/>
      <protection hidden="1"/>
    </xf>
    <xf numFmtId="3" fontId="2" fillId="0" borderId="0" xfId="4" applyFont="1" applyProtection="1">
      <protection hidden="1"/>
    </xf>
    <xf numFmtId="3" fontId="2" fillId="0" borderId="0" xfId="4" applyFont="1" applyAlignment="1" applyProtection="1">
      <alignment horizontal="left"/>
      <protection hidden="1"/>
    </xf>
    <xf numFmtId="3" fontId="2" fillId="0" borderId="0" xfId="4" applyFont="1" applyAlignment="1" applyProtection="1">
      <alignment horizontal="right"/>
      <protection hidden="1"/>
    </xf>
    <xf numFmtId="164" fontId="2" fillId="0" borderId="0" xfId="8" applyNumberFormat="1" applyFont="1" applyAlignment="1" applyProtection="1">
      <alignment horizontal="right"/>
      <protection hidden="1"/>
    </xf>
    <xf numFmtId="3" fontId="2" fillId="0" borderId="2" xfId="4" applyFont="1" applyBorder="1" applyProtection="1">
      <protection hidden="1"/>
    </xf>
    <xf numFmtId="0" fontId="0" fillId="0" borderId="2" xfId="0" applyBorder="1" applyProtection="1">
      <protection hidden="1"/>
    </xf>
    <xf numFmtId="0" fontId="0" fillId="0" borderId="0" xfId="0" applyAlignment="1" applyProtection="1">
      <alignment horizontal="center"/>
      <protection hidden="1"/>
    </xf>
    <xf numFmtId="165" fontId="10" fillId="0" borderId="0" xfId="5" applyNumberFormat="1" applyFont="1" applyAlignment="1" applyProtection="1">
      <alignment horizontal="right"/>
      <protection hidden="1"/>
    </xf>
    <xf numFmtId="165" fontId="8" fillId="0" borderId="0" xfId="5" applyNumberFormat="1" applyFont="1" applyAlignment="1" applyProtection="1">
      <alignment horizontal="right"/>
      <protection hidden="1"/>
    </xf>
    <xf numFmtId="0" fontId="13" fillId="0" borderId="4" xfId="0" applyFont="1" applyBorder="1" applyAlignment="1" applyProtection="1">
      <alignment horizontal="center"/>
      <protection hidden="1"/>
    </xf>
    <xf numFmtId="0" fontId="18" fillId="2" borderId="44" xfId="0" applyFont="1" applyFill="1" applyBorder="1" applyAlignment="1" applyProtection="1">
      <alignment vertical="top" wrapText="1"/>
      <protection locked="0"/>
    </xf>
    <xf numFmtId="0" fontId="18" fillId="0" borderId="53" xfId="0" applyFont="1" applyBorder="1" applyAlignment="1" applyProtection="1">
      <alignment horizontal="left" vertical="top" wrapText="1" indent="1"/>
      <protection locked="0"/>
    </xf>
    <xf numFmtId="0" fontId="18" fillId="0" borderId="0" xfId="0" applyFont="1" applyAlignment="1" applyProtection="1">
      <alignment horizontal="left" vertical="top" wrapText="1" indent="1"/>
      <protection locked="0"/>
    </xf>
    <xf numFmtId="0" fontId="18" fillId="0" borderId="28" xfId="0" applyFont="1" applyBorder="1" applyAlignment="1" applyProtection="1">
      <alignment horizontal="left" vertical="top" wrapText="1" indent="1"/>
      <protection locked="0"/>
    </xf>
    <xf numFmtId="0" fontId="0" fillId="0" borderId="50" xfId="0" applyBorder="1" applyProtection="1">
      <protection hidden="1"/>
    </xf>
    <xf numFmtId="0" fontId="12" fillId="0" borderId="53" xfId="0" applyFont="1" applyBorder="1" applyProtection="1">
      <protection hidden="1"/>
    </xf>
    <xf numFmtId="0" fontId="0" fillId="5" borderId="6" xfId="0" applyFill="1" applyBorder="1" applyAlignment="1">
      <alignment horizontal="center"/>
    </xf>
    <xf numFmtId="1" fontId="0" fillId="5" borderId="54" xfId="0" applyNumberFormat="1" applyFill="1" applyBorder="1" applyAlignment="1">
      <alignment horizontal="center"/>
    </xf>
    <xf numFmtId="1" fontId="0" fillId="0" borderId="0" xfId="0" applyNumberFormat="1" applyAlignment="1">
      <alignment horizontal="center"/>
    </xf>
    <xf numFmtId="0" fontId="20" fillId="0" borderId="0" xfId="0" applyFont="1" applyProtection="1">
      <protection hidden="1"/>
    </xf>
    <xf numFmtId="0" fontId="20" fillId="0" borderId="0" xfId="0" quotePrefix="1" applyFont="1" applyAlignment="1" applyProtection="1">
      <alignment horizontal="left"/>
      <protection hidden="1"/>
    </xf>
    <xf numFmtId="0" fontId="21" fillId="0" borderId="0" xfId="0" applyFont="1" applyProtection="1">
      <protection hidden="1"/>
    </xf>
    <xf numFmtId="0" fontId="22" fillId="0" borderId="0" xfId="0" quotePrefix="1" applyFont="1" applyAlignment="1" applyProtection="1">
      <alignment horizontal="left"/>
      <protection hidden="1"/>
    </xf>
    <xf numFmtId="0" fontId="22" fillId="0" borderId="0" xfId="0" applyFont="1" applyProtection="1">
      <protection hidden="1"/>
    </xf>
    <xf numFmtId="0" fontId="13" fillId="0" borderId="44" xfId="0" applyFont="1" applyBorder="1" applyAlignment="1" applyProtection="1">
      <alignment horizontal="center"/>
      <protection hidden="1"/>
    </xf>
    <xf numFmtId="0" fontId="17" fillId="0" borderId="0" xfId="0" applyFont="1" applyAlignment="1" applyProtection="1">
      <alignment wrapText="1"/>
      <protection hidden="1"/>
    </xf>
    <xf numFmtId="0" fontId="13" fillId="0" borderId="3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13" fillId="0" borderId="3" xfId="0" applyFont="1" applyBorder="1"/>
    <xf numFmtId="0" fontId="13" fillId="0" borderId="28" xfId="0" applyFont="1" applyBorder="1" applyAlignment="1">
      <alignment horizontal="center" vertical="center"/>
    </xf>
    <xf numFmtId="0" fontId="12" fillId="0" borderId="0" xfId="0" applyFont="1" applyAlignment="1" applyProtection="1">
      <alignment horizontal="center" wrapText="1"/>
      <protection hidden="1"/>
    </xf>
    <xf numFmtId="0" fontId="14" fillId="0" borderId="0" xfId="0" applyFont="1" applyAlignment="1" applyProtection="1">
      <alignment horizontal="center" wrapText="1"/>
      <protection hidden="1"/>
    </xf>
    <xf numFmtId="0" fontId="8" fillId="0" borderId="42" xfId="0" applyFont="1" applyBorder="1" applyProtection="1">
      <protection hidden="1"/>
    </xf>
    <xf numFmtId="0" fontId="12" fillId="0" borderId="29" xfId="0" applyFont="1" applyBorder="1" applyAlignment="1" applyProtection="1">
      <alignment horizontal="center" wrapText="1"/>
      <protection hidden="1"/>
    </xf>
    <xf numFmtId="0" fontId="14" fillId="0" borderId="28" xfId="0" applyFont="1" applyBorder="1" applyAlignment="1" applyProtection="1">
      <alignment horizontal="center" wrapText="1"/>
      <protection hidden="1"/>
    </xf>
    <xf numFmtId="0" fontId="13" fillId="2" borderId="6" xfId="0" applyFont="1" applyFill="1" applyBorder="1" applyAlignment="1" applyProtection="1">
      <alignment vertical="center"/>
      <protection locked="0"/>
    </xf>
    <xf numFmtId="3" fontId="0" fillId="0" borderId="0" xfId="3" applyFont="1" applyAlignment="1">
      <alignment horizontal="left"/>
    </xf>
    <xf numFmtId="0" fontId="14" fillId="0" borderId="25" xfId="0" applyFont="1" applyBorder="1" applyAlignment="1">
      <alignment horizontal="center" wrapText="1"/>
    </xf>
    <xf numFmtId="0" fontId="23" fillId="0" borderId="0" xfId="0" applyFont="1"/>
    <xf numFmtId="0" fontId="14" fillId="0" borderId="42" xfId="0" applyFont="1" applyBorder="1" applyProtection="1">
      <protection hidden="1"/>
    </xf>
    <xf numFmtId="0" fontId="14" fillId="0" borderId="32" xfId="0" applyFont="1" applyBorder="1" applyProtection="1">
      <protection hidden="1"/>
    </xf>
    <xf numFmtId="0" fontId="14" fillId="0" borderId="39" xfId="0" applyFont="1" applyBorder="1" applyAlignment="1">
      <alignment horizontal="center" wrapText="1"/>
    </xf>
    <xf numFmtId="4" fontId="14" fillId="0" borderId="25" xfId="0" applyNumberFormat="1" applyFont="1" applyBorder="1" applyAlignment="1">
      <alignment horizontal="center" wrapText="1"/>
    </xf>
    <xf numFmtId="0" fontId="14" fillId="0" borderId="26" xfId="0" applyFont="1" applyBorder="1" applyAlignment="1">
      <alignment horizontal="center" wrapText="1"/>
    </xf>
    <xf numFmtId="0" fontId="13" fillId="2" borderId="6" xfId="0" applyFont="1" applyFill="1" applyBorder="1" applyAlignment="1" applyProtection="1">
      <alignment horizontal="center" vertical="center"/>
      <protection locked="0"/>
    </xf>
    <xf numFmtId="4" fontId="13" fillId="2" borderId="6" xfId="0" applyNumberFormat="1" applyFont="1" applyFill="1" applyBorder="1" applyAlignment="1" applyProtection="1">
      <alignment horizontal="center" vertical="center"/>
      <protection locked="0"/>
    </xf>
    <xf numFmtId="4" fontId="13" fillId="2" borderId="25" xfId="0" applyNumberFormat="1" applyFont="1" applyFill="1" applyBorder="1" applyAlignment="1" applyProtection="1">
      <alignment horizontal="center" vertical="center"/>
      <protection locked="0"/>
    </xf>
    <xf numFmtId="4" fontId="13" fillId="0" borderId="25" xfId="0" applyNumberFormat="1" applyFont="1" applyBorder="1" applyAlignment="1" applyProtection="1">
      <alignment horizontal="center" vertical="center"/>
      <protection hidden="1"/>
    </xf>
    <xf numFmtId="3" fontId="13" fillId="0" borderId="26" xfId="0" applyNumberFormat="1" applyFont="1" applyBorder="1" applyAlignment="1" applyProtection="1">
      <alignment horizontal="center" vertical="center"/>
      <protection hidden="1"/>
    </xf>
    <xf numFmtId="3" fontId="13" fillId="2" borderId="8" xfId="0" applyNumberFormat="1" applyFont="1" applyFill="1" applyBorder="1" applyAlignment="1" applyProtection="1">
      <alignment horizontal="center" vertical="center"/>
      <protection locked="0"/>
    </xf>
    <xf numFmtId="3" fontId="13" fillId="2" borderId="24" xfId="0" applyNumberFormat="1" applyFont="1" applyFill="1" applyBorder="1" applyAlignment="1" applyProtection="1">
      <alignment horizontal="center" vertical="center"/>
      <protection locked="0"/>
    </xf>
    <xf numFmtId="3" fontId="0" fillId="0" borderId="28" xfId="0" applyNumberFormat="1" applyBorder="1" applyAlignment="1">
      <alignment horizontal="center" vertical="center"/>
    </xf>
    <xf numFmtId="0" fontId="2" fillId="0" borderId="0" xfId="0" applyFont="1"/>
    <xf numFmtId="3" fontId="14" fillId="0" borderId="0" xfId="0" applyNumberFormat="1" applyFont="1" applyAlignment="1" applyProtection="1">
      <alignment horizontal="center" vertical="center"/>
      <protection hidden="1"/>
    </xf>
    <xf numFmtId="0" fontId="14" fillId="2" borderId="39" xfId="0" applyFont="1" applyFill="1" applyBorder="1" applyAlignment="1" applyProtection="1">
      <alignment horizontal="center" vertical="center"/>
      <protection locked="0"/>
    </xf>
    <xf numFmtId="0" fontId="14" fillId="2" borderId="3" xfId="0" applyFont="1" applyFill="1" applyBorder="1" applyAlignment="1" applyProtection="1">
      <alignment horizontal="center" vertical="center"/>
      <protection locked="0"/>
    </xf>
    <xf numFmtId="3" fontId="12" fillId="0" borderId="6" xfId="3" applyFont="1" applyBorder="1" applyAlignment="1" applyProtection="1">
      <alignment horizontal="center" vertical="center"/>
      <protection hidden="1"/>
    </xf>
    <xf numFmtId="1" fontId="13" fillId="0" borderId="6" xfId="0" applyNumberFormat="1" applyFont="1" applyBorder="1" applyAlignment="1" applyProtection="1">
      <alignment horizontal="center" vertical="center" wrapText="1"/>
      <protection hidden="1"/>
    </xf>
    <xf numFmtId="3" fontId="13" fillId="0" borderId="8" xfId="0" applyNumberFormat="1" applyFont="1" applyBorder="1" applyAlignment="1" applyProtection="1">
      <alignment horizontal="center" vertical="center"/>
      <protection hidden="1"/>
    </xf>
    <xf numFmtId="3" fontId="13" fillId="0" borderId="13" xfId="0" applyNumberFormat="1" applyFont="1" applyBorder="1" applyAlignment="1" applyProtection="1">
      <alignment horizontal="center" vertical="center"/>
      <protection hidden="1"/>
    </xf>
    <xf numFmtId="3" fontId="14" fillId="0" borderId="29" xfId="0" applyNumberFormat="1" applyFont="1" applyBorder="1" applyAlignment="1" applyProtection="1">
      <alignment horizontal="center" vertical="center"/>
      <protection hidden="1"/>
    </xf>
    <xf numFmtId="0" fontId="2" fillId="0" borderId="28" xfId="0" applyFont="1" applyBorder="1" applyAlignment="1" applyProtection="1">
      <alignment vertical="top" wrapText="1"/>
      <protection hidden="1"/>
    </xf>
    <xf numFmtId="0" fontId="2" fillId="0" borderId="44" xfId="0" applyFont="1" applyBorder="1" applyAlignment="1" applyProtection="1">
      <alignment vertical="top" wrapText="1"/>
      <protection hidden="1"/>
    </xf>
    <xf numFmtId="0" fontId="12" fillId="0" borderId="28" xfId="0" applyFont="1" applyBorder="1" applyAlignment="1" applyProtection="1">
      <alignment horizontal="center" vertical="center"/>
      <protection hidden="1"/>
    </xf>
    <xf numFmtId="0" fontId="13" fillId="0" borderId="34" xfId="0" applyFont="1" applyBorder="1" applyAlignment="1" applyProtection="1">
      <alignment horizontal="center" wrapText="1"/>
      <protection hidden="1"/>
    </xf>
    <xf numFmtId="0" fontId="13" fillId="0" borderId="3" xfId="0" applyFont="1" applyBorder="1" applyAlignment="1" applyProtection="1">
      <alignment horizontal="center" wrapText="1"/>
      <protection hidden="1"/>
    </xf>
    <xf numFmtId="0" fontId="13" fillId="0" borderId="19" xfId="0" applyFont="1" applyBorder="1" applyAlignment="1" applyProtection="1">
      <alignment wrapText="1"/>
      <protection hidden="1"/>
    </xf>
    <xf numFmtId="0" fontId="12" fillId="0" borderId="39" xfId="0" applyFont="1" applyBorder="1" applyAlignment="1" applyProtection="1">
      <alignment horizontal="center"/>
      <protection hidden="1"/>
    </xf>
    <xf numFmtId="0" fontId="10" fillId="0" borderId="38" xfId="0" applyFont="1" applyBorder="1" applyAlignment="1" applyProtection="1">
      <alignment horizontal="right"/>
      <protection hidden="1"/>
    </xf>
    <xf numFmtId="0" fontId="13" fillId="0" borderId="45" xfId="0" applyFont="1" applyBorder="1" applyAlignment="1" applyProtection="1">
      <alignment horizontal="left"/>
      <protection hidden="1"/>
    </xf>
    <xf numFmtId="0" fontId="13" fillId="0" borderId="30" xfId="0" applyFont="1" applyBorder="1" applyAlignment="1" applyProtection="1">
      <alignment horizontal="left"/>
      <protection hidden="1"/>
    </xf>
    <xf numFmtId="0" fontId="13" fillId="0" borderId="48" xfId="0" applyFont="1" applyBorder="1" applyAlignment="1" applyProtection="1">
      <alignment horizontal="left"/>
      <protection hidden="1"/>
    </xf>
    <xf numFmtId="0" fontId="13" fillId="0" borderId="28" xfId="0" applyFont="1" applyBorder="1" applyAlignment="1" applyProtection="1">
      <alignment horizontal="left" vertical="top" wrapText="1"/>
      <protection hidden="1"/>
    </xf>
    <xf numFmtId="0" fontId="13" fillId="0" borderId="39" xfId="0" applyFont="1" applyBorder="1" applyAlignment="1">
      <alignment horizontal="center"/>
    </xf>
    <xf numFmtId="2" fontId="13" fillId="0" borderId="26" xfId="0" applyNumberFormat="1" applyFont="1" applyBorder="1" applyAlignment="1" applyProtection="1">
      <alignment horizontal="right"/>
      <protection hidden="1"/>
    </xf>
    <xf numFmtId="49" fontId="13" fillId="0" borderId="25" xfId="0" applyNumberFormat="1" applyFont="1" applyBorder="1" applyAlignment="1" applyProtection="1">
      <alignment horizontal="center"/>
      <protection hidden="1"/>
    </xf>
    <xf numFmtId="0" fontId="13" fillId="0" borderId="39" xfId="0" applyFont="1" applyBorder="1"/>
    <xf numFmtId="2" fontId="13" fillId="0" borderId="25" xfId="0" applyNumberFormat="1" applyFont="1" applyBorder="1" applyAlignment="1" applyProtection="1">
      <alignment horizontal="right"/>
      <protection hidden="1"/>
    </xf>
    <xf numFmtId="0" fontId="12" fillId="0" borderId="27" xfId="0" applyFont="1" applyBorder="1" applyAlignment="1" applyProtection="1">
      <alignment horizontal="center"/>
      <protection hidden="1"/>
    </xf>
    <xf numFmtId="0" fontId="16" fillId="0" borderId="63" xfId="0" applyFont="1" applyBorder="1" applyAlignment="1" applyProtection="1">
      <alignment horizontal="center" textRotation="90"/>
      <protection hidden="1"/>
    </xf>
    <xf numFmtId="0" fontId="14" fillId="0" borderId="64" xfId="0" applyFont="1" applyBorder="1" applyAlignment="1" applyProtection="1">
      <alignment horizontal="center" textRotation="90"/>
      <protection hidden="1"/>
    </xf>
    <xf numFmtId="0" fontId="12" fillId="0" borderId="56" xfId="0" applyFont="1" applyBorder="1" applyAlignment="1" applyProtection="1">
      <alignment horizontal="center" textRotation="90" wrapText="1"/>
      <protection hidden="1"/>
    </xf>
    <xf numFmtId="0" fontId="16" fillId="0" borderId="41" xfId="0" applyFont="1" applyBorder="1" applyAlignment="1" applyProtection="1">
      <alignment horizontal="center" textRotation="90" wrapText="1"/>
      <protection hidden="1"/>
    </xf>
    <xf numFmtId="0" fontId="16" fillId="0" borderId="44" xfId="0" applyFont="1" applyBorder="1" applyAlignment="1" applyProtection="1">
      <alignment horizontal="center" textRotation="90" wrapText="1"/>
      <protection hidden="1"/>
    </xf>
    <xf numFmtId="0" fontId="16" fillId="0" borderId="64" xfId="0" applyFont="1" applyBorder="1" applyAlignment="1" applyProtection="1">
      <alignment horizontal="center" textRotation="90" wrapText="1"/>
      <protection hidden="1"/>
    </xf>
    <xf numFmtId="0" fontId="12" fillId="0" borderId="7" xfId="0" applyFont="1" applyBorder="1" applyAlignment="1" applyProtection="1">
      <alignment horizontal="center" wrapText="1"/>
      <protection hidden="1"/>
    </xf>
    <xf numFmtId="0" fontId="12" fillId="0" borderId="39" xfId="0" applyFont="1" applyBorder="1" applyAlignment="1" applyProtection="1">
      <alignment horizontal="center" wrapText="1"/>
      <protection hidden="1"/>
    </xf>
    <xf numFmtId="0" fontId="12" fillId="0" borderId="25" xfId="0" applyFont="1" applyBorder="1" applyAlignment="1" applyProtection="1">
      <alignment horizontal="center" wrapText="1"/>
      <protection hidden="1"/>
    </xf>
    <xf numFmtId="0" fontId="12" fillId="0" borderId="36" xfId="0" applyFont="1" applyBorder="1" applyAlignment="1" applyProtection="1">
      <alignment horizontal="center" vertical="center" wrapText="1"/>
      <protection hidden="1"/>
    </xf>
    <xf numFmtId="0" fontId="2" fillId="0" borderId="45" xfId="0" applyFont="1" applyBorder="1" applyAlignment="1" applyProtection="1">
      <alignment horizontal="right"/>
      <protection hidden="1"/>
    </xf>
    <xf numFmtId="0" fontId="2" fillId="0" borderId="30" xfId="0" applyFont="1" applyBorder="1" applyAlignment="1" applyProtection="1">
      <alignment horizontal="right"/>
      <protection hidden="1"/>
    </xf>
    <xf numFmtId="0" fontId="2" fillId="0" borderId="48" xfId="0" applyFont="1" applyBorder="1" applyAlignment="1" applyProtection="1">
      <alignment horizontal="right"/>
      <protection hidden="1"/>
    </xf>
    <xf numFmtId="0" fontId="2" fillId="0" borderId="48" xfId="0" applyFont="1" applyBorder="1" applyAlignment="1" applyProtection="1">
      <alignment horizontal="right" vertical="top" wrapText="1"/>
      <protection hidden="1"/>
    </xf>
    <xf numFmtId="0" fontId="6" fillId="0" borderId="45" xfId="0" applyFont="1" applyBorder="1" applyAlignment="1" applyProtection="1">
      <alignment horizontal="center"/>
      <protection hidden="1"/>
    </xf>
    <xf numFmtId="0" fontId="2" fillId="0" borderId="31" xfId="0" applyFont="1" applyBorder="1" applyAlignment="1" applyProtection="1">
      <alignment horizontal="right" vertical="top" wrapText="1"/>
      <protection hidden="1"/>
    </xf>
    <xf numFmtId="0" fontId="13" fillId="0" borderId="31" xfId="0" applyFont="1" applyBorder="1" applyAlignment="1" applyProtection="1">
      <alignment horizontal="center"/>
      <protection hidden="1"/>
    </xf>
    <xf numFmtId="3" fontId="13" fillId="0" borderId="12" xfId="0" applyNumberFormat="1" applyFont="1" applyBorder="1" applyAlignment="1" applyProtection="1">
      <alignment horizontal="center"/>
      <protection hidden="1"/>
    </xf>
    <xf numFmtId="1" fontId="15" fillId="4" borderId="28" xfId="0" applyNumberFormat="1" applyFont="1" applyFill="1" applyBorder="1" applyAlignment="1">
      <alignment horizontal="center"/>
    </xf>
    <xf numFmtId="1" fontId="15" fillId="4" borderId="7" xfId="0" applyNumberFormat="1" applyFont="1" applyFill="1" applyBorder="1" applyAlignment="1">
      <alignment horizontal="center"/>
    </xf>
    <xf numFmtId="0" fontId="13" fillId="0" borderId="53" xfId="0" applyFont="1" applyBorder="1" applyAlignment="1" applyProtection="1">
      <alignment horizontal="center" vertical="center" wrapText="1"/>
      <protection hidden="1"/>
    </xf>
    <xf numFmtId="0" fontId="13" fillId="0" borderId="1" xfId="0" applyFont="1" applyBorder="1" applyAlignment="1" applyProtection="1">
      <alignment horizontal="center" vertical="center" wrapText="1"/>
      <protection hidden="1"/>
    </xf>
    <xf numFmtId="0" fontId="13" fillId="2" borderId="10" xfId="0" applyFont="1" applyFill="1" applyBorder="1" applyAlignment="1" applyProtection="1">
      <alignment horizontal="center" vertical="center"/>
      <protection locked="0"/>
    </xf>
    <xf numFmtId="2" fontId="13" fillId="0" borderId="49" xfId="0" applyNumberFormat="1" applyFont="1" applyBorder="1" applyAlignment="1" applyProtection="1">
      <alignment horizontal="center" vertical="center"/>
      <protection hidden="1"/>
    </xf>
    <xf numFmtId="0" fontId="13" fillId="2" borderId="5" xfId="0" applyFont="1" applyFill="1" applyBorder="1" applyAlignment="1" applyProtection="1">
      <alignment horizontal="center" vertical="center"/>
      <protection locked="0"/>
    </xf>
    <xf numFmtId="2" fontId="13" fillId="0" borderId="8" xfId="0" applyNumberFormat="1" applyFont="1" applyBorder="1" applyAlignment="1" applyProtection="1">
      <alignment horizontal="center" vertical="center"/>
      <protection hidden="1"/>
    </xf>
    <xf numFmtId="2" fontId="13" fillId="0" borderId="13" xfId="0" applyNumberFormat="1" applyFont="1" applyBorder="1" applyAlignment="1" applyProtection="1">
      <alignment horizontal="center" vertical="center"/>
      <protection hidden="1"/>
    </xf>
    <xf numFmtId="2" fontId="13" fillId="0" borderId="2" xfId="0" applyNumberFormat="1" applyFont="1" applyBorder="1" applyAlignment="1" applyProtection="1">
      <alignment horizontal="center" vertical="center"/>
      <protection hidden="1"/>
    </xf>
    <xf numFmtId="49" fontId="13" fillId="2" borderId="3" xfId="0" applyNumberFormat="1" applyFont="1" applyFill="1" applyBorder="1" applyAlignment="1" applyProtection="1">
      <alignment horizontal="center" vertical="center"/>
      <protection locked="0"/>
    </xf>
    <xf numFmtId="0" fontId="13" fillId="0" borderId="35" xfId="0" applyFont="1" applyBorder="1" applyAlignment="1" applyProtection="1">
      <alignment horizontal="center" vertical="center"/>
      <protection hidden="1"/>
    </xf>
    <xf numFmtId="3" fontId="13" fillId="0" borderId="36" xfId="0" applyNumberFormat="1" applyFont="1" applyBorder="1" applyAlignment="1" applyProtection="1">
      <alignment horizontal="center" vertical="center"/>
      <protection hidden="1"/>
    </xf>
    <xf numFmtId="0" fontId="13" fillId="0" borderId="48" xfId="0" applyFont="1" applyBorder="1" applyAlignment="1" applyProtection="1">
      <alignment horizontal="center" vertical="center" wrapText="1"/>
      <protection hidden="1"/>
    </xf>
    <xf numFmtId="0" fontId="13" fillId="0" borderId="16" xfId="0" applyFont="1" applyBorder="1" applyAlignment="1" applyProtection="1">
      <alignment horizontal="center" vertical="center" wrapText="1"/>
      <protection hidden="1"/>
    </xf>
    <xf numFmtId="0" fontId="13" fillId="0" borderId="30" xfId="0" applyFont="1" applyBorder="1" applyAlignment="1" applyProtection="1">
      <alignment horizontal="center" vertical="center"/>
      <protection hidden="1"/>
    </xf>
    <xf numFmtId="3" fontId="13" fillId="0" borderId="7" xfId="0" applyNumberFormat="1" applyFont="1" applyBorder="1" applyAlignment="1" applyProtection="1">
      <alignment horizontal="center" vertical="center"/>
      <protection hidden="1"/>
    </xf>
    <xf numFmtId="0" fontId="13" fillId="0" borderId="48" xfId="0" applyFont="1" applyBorder="1" applyAlignment="1" applyProtection="1">
      <alignment horizontal="center" vertical="center"/>
      <protection hidden="1"/>
    </xf>
    <xf numFmtId="0" fontId="13" fillId="0" borderId="2" xfId="0" applyFont="1" applyBorder="1" applyAlignment="1" applyProtection="1">
      <alignment horizontal="center" vertical="center" wrapText="1"/>
      <protection hidden="1"/>
    </xf>
    <xf numFmtId="0" fontId="13" fillId="2" borderId="22" xfId="0" applyFont="1" applyFill="1" applyBorder="1" applyAlignment="1" applyProtection="1">
      <alignment horizontal="center" vertical="center"/>
      <protection locked="0"/>
    </xf>
    <xf numFmtId="49" fontId="13" fillId="2" borderId="10" xfId="0" applyNumberFormat="1" applyFont="1" applyFill="1" applyBorder="1" applyAlignment="1" applyProtection="1">
      <alignment horizontal="center" vertical="center"/>
      <protection locked="0"/>
    </xf>
    <xf numFmtId="0" fontId="12" fillId="0" borderId="63" xfId="0" applyFont="1" applyBorder="1" applyAlignment="1" applyProtection="1">
      <alignment horizontal="center" wrapText="1"/>
      <protection hidden="1"/>
    </xf>
    <xf numFmtId="0" fontId="12" fillId="0" borderId="64" xfId="0" applyFont="1" applyBorder="1" applyAlignment="1" applyProtection="1">
      <alignment horizontal="center" wrapText="1"/>
      <protection hidden="1"/>
    </xf>
    <xf numFmtId="0" fontId="13" fillId="0" borderId="32" xfId="0" applyFont="1" applyBorder="1" applyAlignment="1" applyProtection="1">
      <alignment horizontal="center" vertical="center"/>
      <protection hidden="1"/>
    </xf>
    <xf numFmtId="0" fontId="13" fillId="0" borderId="29" xfId="0" applyFont="1" applyBorder="1" applyAlignment="1" applyProtection="1">
      <alignment horizontal="center" vertical="center"/>
      <protection hidden="1"/>
    </xf>
    <xf numFmtId="0" fontId="13" fillId="0" borderId="42" xfId="0" applyFont="1" applyBorder="1" applyAlignment="1" applyProtection="1">
      <alignment horizontal="center" vertical="center"/>
      <protection hidden="1"/>
    </xf>
    <xf numFmtId="0" fontId="13" fillId="0" borderId="39" xfId="0" applyFont="1" applyBorder="1" applyAlignment="1" applyProtection="1">
      <alignment horizontal="right" vertical="center" wrapText="1"/>
      <protection hidden="1"/>
    </xf>
    <xf numFmtId="0" fontId="13" fillId="0" borderId="3" xfId="0" applyFont="1" applyBorder="1" applyAlignment="1" applyProtection="1">
      <alignment horizontal="right" vertical="center" wrapText="1"/>
      <protection hidden="1"/>
    </xf>
    <xf numFmtId="4" fontId="10" fillId="0" borderId="30" xfId="0" applyNumberFormat="1" applyFont="1" applyBorder="1" applyAlignment="1" applyProtection="1">
      <alignment horizontal="center" vertical="center"/>
      <protection hidden="1"/>
    </xf>
    <xf numFmtId="0" fontId="12" fillId="2" borderId="39" xfId="0" applyFont="1" applyFill="1" applyBorder="1" applyAlignment="1" applyProtection="1">
      <alignment horizontal="center" vertical="center"/>
      <protection locked="0"/>
    </xf>
    <xf numFmtId="0" fontId="12" fillId="0" borderId="58" xfId="0" applyFont="1" applyBorder="1" applyAlignment="1">
      <alignment horizontal="center" vertical="center"/>
    </xf>
    <xf numFmtId="4" fontId="10" fillId="0" borderId="45" xfId="0" applyNumberFormat="1" applyFont="1" applyBorder="1" applyAlignment="1" applyProtection="1">
      <alignment horizontal="center" vertical="center"/>
      <protection hidden="1"/>
    </xf>
    <xf numFmtId="0" fontId="12" fillId="2" borderId="3" xfId="0" applyFont="1" applyFill="1" applyBorder="1" applyAlignment="1" applyProtection="1">
      <alignment horizontal="center" vertical="center"/>
      <protection locked="0"/>
    </xf>
    <xf numFmtId="0" fontId="12" fillId="0" borderId="54" xfId="0" applyFont="1" applyBorder="1" applyAlignment="1">
      <alignment horizontal="center" vertical="center"/>
    </xf>
    <xf numFmtId="0" fontId="12" fillId="2" borderId="10" xfId="0" applyFont="1" applyFill="1" applyBorder="1" applyAlignment="1" applyProtection="1">
      <alignment horizontal="center" vertical="center"/>
      <protection locked="0"/>
    </xf>
    <xf numFmtId="0" fontId="12" fillId="0" borderId="55" xfId="0" applyFont="1" applyBorder="1" applyAlignment="1">
      <alignment horizontal="center" vertical="center"/>
    </xf>
    <xf numFmtId="0" fontId="12" fillId="0" borderId="20" xfId="0" applyFont="1" applyBorder="1" applyProtection="1">
      <protection hidden="1"/>
    </xf>
    <xf numFmtId="0" fontId="12" fillId="0" borderId="56" xfId="0" applyFont="1" applyBorder="1" applyProtection="1">
      <protection hidden="1"/>
    </xf>
    <xf numFmtId="4" fontId="10" fillId="0" borderId="22" xfId="0" applyNumberFormat="1" applyFont="1" applyBorder="1" applyAlignment="1" applyProtection="1">
      <alignment horizontal="center" vertical="center"/>
      <protection hidden="1"/>
    </xf>
    <xf numFmtId="4" fontId="12" fillId="0" borderId="44" xfId="0" applyNumberFormat="1" applyFont="1" applyBorder="1" applyAlignment="1" applyProtection="1">
      <alignment horizontal="center" vertical="center"/>
      <protection hidden="1"/>
    </xf>
    <xf numFmtId="4" fontId="10" fillId="0" borderId="19" xfId="0" applyNumberFormat="1" applyFont="1" applyBorder="1" applyAlignment="1" applyProtection="1">
      <alignment horizontal="center" vertical="center"/>
      <protection hidden="1"/>
    </xf>
    <xf numFmtId="4" fontId="12" fillId="0" borderId="19" xfId="0" applyNumberFormat="1" applyFont="1" applyBorder="1" applyAlignment="1" applyProtection="1">
      <alignment horizontal="center" vertical="center"/>
      <protection hidden="1"/>
    </xf>
    <xf numFmtId="4" fontId="12" fillId="0" borderId="41" xfId="0" applyNumberFormat="1" applyFont="1" applyBorder="1" applyAlignment="1" applyProtection="1">
      <alignment horizontal="center" vertical="center"/>
      <protection hidden="1"/>
    </xf>
    <xf numFmtId="0" fontId="12" fillId="2" borderId="54" xfId="0" applyFont="1" applyFill="1" applyBorder="1" applyAlignment="1" applyProtection="1">
      <alignment horizontal="center" vertical="center"/>
      <protection locked="0"/>
    </xf>
    <xf numFmtId="0" fontId="12" fillId="2" borderId="65" xfId="0" applyFont="1" applyFill="1" applyBorder="1" applyAlignment="1" applyProtection="1">
      <alignment horizontal="center" vertical="center"/>
      <protection locked="0"/>
    </xf>
    <xf numFmtId="0" fontId="0" fillId="2" borderId="25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0" borderId="17" xfId="0" applyBorder="1"/>
    <xf numFmtId="0" fontId="14" fillId="0" borderId="25" xfId="0" applyFont="1" applyBorder="1" applyAlignment="1" applyProtection="1">
      <alignment horizontal="center" vertical="center" wrapText="1"/>
      <protection hidden="1"/>
    </xf>
    <xf numFmtId="0" fontId="0" fillId="0" borderId="33" xfId="0" applyBorder="1"/>
    <xf numFmtId="0" fontId="14" fillId="0" borderId="8" xfId="0" applyFont="1" applyBorder="1" applyAlignment="1">
      <alignment horizontal="center" wrapText="1"/>
    </xf>
    <xf numFmtId="3" fontId="14" fillId="0" borderId="8" xfId="0" applyNumberFormat="1" applyFont="1" applyBorder="1" applyAlignment="1" applyProtection="1">
      <alignment horizontal="center" vertical="center"/>
      <protection hidden="1"/>
    </xf>
    <xf numFmtId="1" fontId="14" fillId="0" borderId="42" xfId="0" applyNumberFormat="1" applyFont="1" applyBorder="1" applyAlignment="1" applyProtection="1">
      <alignment horizontal="center"/>
      <protection hidden="1"/>
    </xf>
    <xf numFmtId="3" fontId="14" fillId="0" borderId="40" xfId="0" applyNumberFormat="1" applyFont="1" applyBorder="1" applyAlignment="1" applyProtection="1">
      <alignment horizontal="center"/>
      <protection hidden="1"/>
    </xf>
    <xf numFmtId="1" fontId="14" fillId="0" borderId="43" xfId="0" applyNumberFormat="1" applyFont="1" applyBorder="1" applyAlignment="1" applyProtection="1">
      <alignment horizontal="center"/>
      <protection hidden="1"/>
    </xf>
    <xf numFmtId="0" fontId="13" fillId="2" borderId="11" xfId="0" applyFont="1" applyFill="1" applyBorder="1" applyAlignment="1" applyProtection="1">
      <alignment horizontal="center" vertical="center"/>
      <protection locked="0"/>
    </xf>
    <xf numFmtId="0" fontId="13" fillId="0" borderId="5" xfId="0" applyFont="1" applyBorder="1" applyAlignment="1" applyProtection="1">
      <alignment horizontal="center"/>
      <protection hidden="1"/>
    </xf>
    <xf numFmtId="3" fontId="13" fillId="0" borderId="48" xfId="0" applyNumberFormat="1" applyFont="1" applyBorder="1" applyAlignment="1" applyProtection="1">
      <alignment horizontal="center"/>
      <protection hidden="1"/>
    </xf>
    <xf numFmtId="3" fontId="13" fillId="0" borderId="45" xfId="0" applyNumberFormat="1" applyFont="1" applyBorder="1" applyAlignment="1" applyProtection="1">
      <alignment horizontal="center"/>
      <protection hidden="1"/>
    </xf>
    <xf numFmtId="0" fontId="14" fillId="0" borderId="63" xfId="0" applyFont="1" applyBorder="1" applyAlignment="1" applyProtection="1">
      <alignment horizontal="center" textRotation="90"/>
      <protection hidden="1"/>
    </xf>
    <xf numFmtId="0" fontId="14" fillId="0" borderId="56" xfId="0" applyFont="1" applyBorder="1" applyAlignment="1" applyProtection="1">
      <alignment horizontal="center" textRotation="90" wrapText="1"/>
      <protection hidden="1"/>
    </xf>
    <xf numFmtId="0" fontId="14" fillId="0" borderId="41" xfId="0" applyFont="1" applyBorder="1" applyAlignment="1" applyProtection="1">
      <alignment horizontal="center" textRotation="90" wrapText="1"/>
      <protection hidden="1"/>
    </xf>
    <xf numFmtId="0" fontId="14" fillId="0" borderId="44" xfId="0" applyFont="1" applyBorder="1" applyAlignment="1" applyProtection="1">
      <alignment horizontal="center" textRotation="90" wrapText="1"/>
      <protection hidden="1"/>
    </xf>
    <xf numFmtId="0" fontId="14" fillId="0" borderId="64" xfId="0" applyFont="1" applyBorder="1" applyAlignment="1" applyProtection="1">
      <alignment horizontal="center" textRotation="90" wrapText="1"/>
      <protection hidden="1"/>
    </xf>
    <xf numFmtId="0" fontId="0" fillId="0" borderId="53" xfId="0" applyBorder="1"/>
    <xf numFmtId="0" fontId="14" fillId="0" borderId="45" xfId="0" applyFont="1" applyBorder="1" applyAlignment="1" applyProtection="1">
      <alignment horizontal="center" vertical="center"/>
      <protection hidden="1"/>
    </xf>
    <xf numFmtId="0" fontId="14" fillId="0" borderId="30" xfId="0" applyFont="1" applyBorder="1" applyAlignment="1" applyProtection="1">
      <alignment horizontal="center" vertical="center"/>
      <protection hidden="1"/>
    </xf>
    <xf numFmtId="0" fontId="2" fillId="0" borderId="28" xfId="0" applyFont="1" applyBorder="1" applyAlignment="1" applyProtection="1">
      <alignment horizontal="right" vertical="center" wrapText="1"/>
      <protection hidden="1"/>
    </xf>
    <xf numFmtId="0" fontId="13" fillId="2" borderId="3" xfId="0" applyFont="1" applyFill="1" applyBorder="1" applyAlignment="1" applyProtection="1">
      <alignment horizontal="center" vertical="center"/>
      <protection locked="0"/>
    </xf>
    <xf numFmtId="0" fontId="13" fillId="2" borderId="25" xfId="0" applyFont="1" applyFill="1" applyBorder="1" applyAlignment="1" applyProtection="1">
      <alignment horizontal="center" vertical="center"/>
      <protection locked="0"/>
    </xf>
    <xf numFmtId="0" fontId="13" fillId="2" borderId="7" xfId="0" applyFont="1" applyFill="1" applyBorder="1" applyAlignment="1" applyProtection="1">
      <alignment horizontal="center" vertical="center"/>
      <protection locked="0"/>
    </xf>
    <xf numFmtId="49" fontId="13" fillId="3" borderId="6" xfId="0" applyNumberFormat="1" applyFont="1" applyFill="1" applyBorder="1" applyAlignment="1">
      <alignment horizontal="center" vertical="center"/>
    </xf>
    <xf numFmtId="2" fontId="13" fillId="3" borderId="15" xfId="0" applyNumberFormat="1" applyFont="1" applyFill="1" applyBorder="1" applyAlignment="1">
      <alignment horizontal="center" vertical="center"/>
    </xf>
    <xf numFmtId="49" fontId="13" fillId="3" borderId="19" xfId="0" applyNumberFormat="1" applyFont="1" applyFill="1" applyBorder="1" applyAlignment="1">
      <alignment horizontal="center" vertical="center"/>
    </xf>
    <xf numFmtId="2" fontId="13" fillId="3" borderId="66" xfId="0" applyNumberFormat="1" applyFont="1" applyFill="1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0" fontId="0" fillId="0" borderId="41" xfId="0" applyBorder="1" applyAlignment="1">
      <alignment vertical="center"/>
    </xf>
    <xf numFmtId="0" fontId="0" fillId="0" borderId="44" xfId="0" applyBorder="1" applyAlignment="1">
      <alignment vertical="center"/>
    </xf>
    <xf numFmtId="1" fontId="13" fillId="0" borderId="25" xfId="0" applyNumberFormat="1" applyFont="1" applyBorder="1" applyAlignment="1" applyProtection="1">
      <alignment horizontal="center" vertical="center" wrapText="1"/>
      <protection hidden="1"/>
    </xf>
    <xf numFmtId="0" fontId="13" fillId="0" borderId="39" xfId="0" applyFont="1" applyBorder="1" applyProtection="1">
      <protection hidden="1"/>
    </xf>
    <xf numFmtId="0" fontId="14" fillId="0" borderId="41" xfId="0" applyFont="1" applyBorder="1" applyAlignment="1" applyProtection="1">
      <alignment horizontal="center" wrapText="1"/>
      <protection hidden="1"/>
    </xf>
    <xf numFmtId="0" fontId="24" fillId="0" borderId="0" xfId="0" applyFont="1" applyAlignment="1" applyProtection="1">
      <alignment horizontal="center" vertical="center"/>
      <protection hidden="1"/>
    </xf>
    <xf numFmtId="0" fontId="2" fillId="2" borderId="44" xfId="0" applyFont="1" applyFill="1" applyBorder="1" applyAlignment="1" applyProtection="1">
      <alignment vertical="top" wrapText="1"/>
      <protection locked="0"/>
    </xf>
    <xf numFmtId="0" fontId="14" fillId="0" borderId="25" xfId="0" applyFont="1" applyBorder="1" applyAlignment="1" applyProtection="1">
      <alignment horizontal="left" wrapText="1"/>
      <protection hidden="1"/>
    </xf>
    <xf numFmtId="3" fontId="14" fillId="0" borderId="15" xfId="0" applyNumberFormat="1" applyFont="1" applyBorder="1" applyAlignment="1" applyProtection="1">
      <alignment horizontal="center" vertical="center"/>
      <protection hidden="1"/>
    </xf>
    <xf numFmtId="3" fontId="14" fillId="0" borderId="6" xfId="0" applyNumberFormat="1" applyFont="1" applyBorder="1" applyAlignment="1" applyProtection="1">
      <alignment horizontal="center" vertical="center"/>
      <protection hidden="1"/>
    </xf>
    <xf numFmtId="0" fontId="14" fillId="7" borderId="25" xfId="0" applyFont="1" applyFill="1" applyBorder="1" applyAlignment="1">
      <alignment horizontal="center" vertical="center" wrapText="1"/>
    </xf>
    <xf numFmtId="0" fontId="13" fillId="2" borderId="19" xfId="0" applyFont="1" applyFill="1" applyBorder="1" applyAlignment="1" applyProtection="1">
      <alignment horizontal="center" vertical="center"/>
      <protection locked="0"/>
    </xf>
    <xf numFmtId="0" fontId="13" fillId="2" borderId="6" xfId="0" applyFont="1" applyFill="1" applyBorder="1" applyAlignment="1" applyProtection="1">
      <alignment horizontal="left" vertical="center"/>
      <protection locked="0"/>
    </xf>
    <xf numFmtId="0" fontId="13" fillId="2" borderId="19" xfId="0" applyFont="1" applyFill="1" applyBorder="1" applyAlignment="1" applyProtection="1">
      <alignment horizontal="left" vertical="center"/>
      <protection locked="0"/>
    </xf>
    <xf numFmtId="0" fontId="13" fillId="2" borderId="6" xfId="0" applyFont="1" applyFill="1" applyBorder="1" applyAlignment="1" applyProtection="1">
      <alignment horizontal="left"/>
      <protection locked="0"/>
    </xf>
    <xf numFmtId="0" fontId="13" fillId="2" borderId="19" xfId="0" applyFont="1" applyFill="1" applyBorder="1" applyAlignment="1" applyProtection="1">
      <alignment horizontal="left"/>
      <protection locked="0"/>
    </xf>
    <xf numFmtId="0" fontId="14" fillId="3" borderId="25" xfId="0" applyFont="1" applyFill="1" applyBorder="1" applyAlignment="1" applyProtection="1">
      <alignment horizontal="center" vertical="center" wrapText="1"/>
      <protection hidden="1"/>
    </xf>
    <xf numFmtId="3" fontId="0" fillId="0" borderId="0" xfId="0" applyNumberFormat="1" applyAlignment="1">
      <alignment horizontal="center" vertical="center"/>
    </xf>
    <xf numFmtId="0" fontId="14" fillId="0" borderId="25" xfId="0" applyFont="1" applyBorder="1" applyAlignment="1">
      <alignment horizontal="center" vertical="center" wrapText="1"/>
    </xf>
    <xf numFmtId="4" fontId="13" fillId="3" borderId="25" xfId="0" applyNumberFormat="1" applyFont="1" applyFill="1" applyBorder="1" applyAlignment="1" applyProtection="1">
      <alignment horizontal="center" vertical="center"/>
      <protection hidden="1"/>
    </xf>
    <xf numFmtId="4" fontId="13" fillId="3" borderId="41" xfId="0" applyNumberFormat="1" applyFont="1" applyFill="1" applyBorder="1" applyAlignment="1" applyProtection="1">
      <alignment horizontal="center" vertical="center"/>
      <protection hidden="1"/>
    </xf>
    <xf numFmtId="0" fontId="13" fillId="3" borderId="41" xfId="0" applyFont="1" applyFill="1" applyBorder="1" applyAlignment="1" applyProtection="1">
      <alignment horizontal="center" vertical="center"/>
      <protection hidden="1"/>
    </xf>
    <xf numFmtId="4" fontId="13" fillId="3" borderId="19" xfId="0" applyNumberFormat="1" applyFont="1" applyFill="1" applyBorder="1" applyAlignment="1" applyProtection="1">
      <alignment horizontal="center" vertical="center"/>
      <protection hidden="1"/>
    </xf>
    <xf numFmtId="4" fontId="13" fillId="3" borderId="6" xfId="0" applyNumberFormat="1" applyFont="1" applyFill="1" applyBorder="1" applyAlignment="1" applyProtection="1">
      <alignment horizontal="center" vertical="center"/>
      <protection hidden="1"/>
    </xf>
    <xf numFmtId="0" fontId="13" fillId="3" borderId="6" xfId="0" applyFont="1" applyFill="1" applyBorder="1" applyAlignment="1" applyProtection="1">
      <alignment horizontal="center" vertical="center"/>
      <protection hidden="1"/>
    </xf>
    <xf numFmtId="3" fontId="14" fillId="0" borderId="13" xfId="0" applyNumberFormat="1" applyFont="1" applyBorder="1" applyAlignment="1" applyProtection="1">
      <alignment horizontal="center" vertical="center"/>
      <protection hidden="1"/>
    </xf>
    <xf numFmtId="4" fontId="13" fillId="0" borderId="6" xfId="0" applyNumberFormat="1" applyFont="1" applyBorder="1" applyAlignment="1" applyProtection="1">
      <alignment horizontal="center" vertical="center"/>
      <protection hidden="1"/>
    </xf>
    <xf numFmtId="4" fontId="13" fillId="2" borderId="19" xfId="0" applyNumberFormat="1" applyFont="1" applyFill="1" applyBorder="1" applyAlignment="1" applyProtection="1">
      <alignment horizontal="center" vertical="center"/>
      <protection locked="0"/>
    </xf>
    <xf numFmtId="4" fontId="13" fillId="0" borderId="19" xfId="0" applyNumberFormat="1" applyFont="1" applyBorder="1" applyAlignment="1" applyProtection="1">
      <alignment horizontal="center" vertical="center"/>
      <protection hidden="1"/>
    </xf>
    <xf numFmtId="0" fontId="13" fillId="2" borderId="59" xfId="0" applyFont="1" applyFill="1" applyBorder="1" applyAlignment="1" applyProtection="1">
      <alignment horizontal="center" vertical="center"/>
      <protection locked="0"/>
    </xf>
    <xf numFmtId="4" fontId="13" fillId="2" borderId="59" xfId="0" applyNumberFormat="1" applyFont="1" applyFill="1" applyBorder="1" applyAlignment="1" applyProtection="1">
      <alignment horizontal="center" vertical="center"/>
      <protection locked="0"/>
    </xf>
    <xf numFmtId="4" fontId="13" fillId="2" borderId="11" xfId="0" applyNumberFormat="1" applyFont="1" applyFill="1" applyBorder="1" applyAlignment="1" applyProtection="1">
      <alignment horizontal="center" vertical="center"/>
      <protection locked="0"/>
    </xf>
    <xf numFmtId="4" fontId="13" fillId="0" borderId="11" xfId="0" applyNumberFormat="1" applyFont="1" applyBorder="1" applyAlignment="1" applyProtection="1">
      <alignment horizontal="center" vertical="center"/>
      <protection hidden="1"/>
    </xf>
    <xf numFmtId="4" fontId="13" fillId="0" borderId="59" xfId="0" applyNumberFormat="1" applyFont="1" applyBorder="1" applyAlignment="1" applyProtection="1">
      <alignment horizontal="center" vertical="center"/>
      <protection hidden="1"/>
    </xf>
    <xf numFmtId="3" fontId="14" fillId="0" borderId="27" xfId="0" applyNumberFormat="1" applyFont="1" applyBorder="1" applyAlignment="1" applyProtection="1">
      <alignment horizontal="center" vertical="center"/>
      <protection hidden="1"/>
    </xf>
    <xf numFmtId="3" fontId="8" fillId="0" borderId="28" xfId="0" applyNumberFormat="1" applyFont="1" applyBorder="1" applyAlignment="1" applyProtection="1">
      <alignment horizontal="center" vertical="center"/>
      <protection hidden="1"/>
    </xf>
    <xf numFmtId="0" fontId="26" fillId="0" borderId="0" xfId="0" applyFont="1" applyAlignment="1">
      <alignment horizontal="left" vertical="center" indent="3"/>
    </xf>
    <xf numFmtId="0" fontId="0" fillId="2" borderId="6" xfId="0" applyFill="1" applyBorder="1" applyAlignment="1" applyProtection="1">
      <alignment vertical="center"/>
      <protection locked="0"/>
    </xf>
    <xf numFmtId="2" fontId="13" fillId="0" borderId="0" xfId="0" applyNumberFormat="1" applyFont="1" applyAlignment="1" applyProtection="1">
      <alignment horizontal="right"/>
      <protection hidden="1"/>
    </xf>
    <xf numFmtId="3" fontId="12" fillId="0" borderId="45" xfId="0" applyNumberFormat="1" applyFont="1" applyBorder="1" applyAlignment="1" applyProtection="1">
      <alignment horizontal="center" vertical="center"/>
      <protection hidden="1"/>
    </xf>
    <xf numFmtId="3" fontId="12" fillId="0" borderId="28" xfId="0" applyNumberFormat="1" applyFont="1" applyBorder="1" applyAlignment="1" applyProtection="1">
      <alignment horizontal="center" vertical="center"/>
      <protection hidden="1"/>
    </xf>
    <xf numFmtId="2" fontId="12" fillId="0" borderId="25" xfId="0" applyNumberFormat="1" applyFont="1" applyBorder="1" applyAlignment="1" applyProtection="1">
      <alignment horizontal="center" vertical="center"/>
      <protection hidden="1"/>
    </xf>
    <xf numFmtId="0" fontId="10" fillId="0" borderId="39" xfId="0" applyFont="1" applyBorder="1" applyAlignment="1" applyProtection="1">
      <alignment horizontal="center" vertical="center" wrapText="1"/>
      <protection hidden="1"/>
    </xf>
    <xf numFmtId="0" fontId="10" fillId="0" borderId="3" xfId="0" applyFont="1" applyBorder="1" applyAlignment="1" applyProtection="1">
      <alignment horizontal="center" vertical="center" wrapText="1"/>
      <protection hidden="1"/>
    </xf>
    <xf numFmtId="0" fontId="10" fillId="0" borderId="10" xfId="0" applyFont="1" applyBorder="1" applyAlignment="1" applyProtection="1">
      <alignment horizontal="center" vertical="center" wrapText="1"/>
      <protection hidden="1"/>
    </xf>
    <xf numFmtId="0" fontId="11" fillId="0" borderId="56" xfId="0" applyFont="1" applyBorder="1" applyAlignment="1" applyProtection="1">
      <alignment horizontal="center" vertical="center"/>
      <protection hidden="1"/>
    </xf>
    <xf numFmtId="0" fontId="12" fillId="0" borderId="45" xfId="0" applyFont="1" applyBorder="1" applyAlignment="1">
      <alignment horizontal="center" vertical="center"/>
    </xf>
    <xf numFmtId="0" fontId="2" fillId="0" borderId="12" xfId="0" applyFont="1" applyBorder="1" applyAlignment="1" applyProtection="1">
      <alignment vertical="top" wrapText="1"/>
      <protection hidden="1"/>
    </xf>
    <xf numFmtId="0" fontId="14" fillId="3" borderId="19" xfId="0" applyFont="1" applyFill="1" applyBorder="1" applyAlignment="1" applyProtection="1">
      <alignment horizontal="center" vertical="center" wrapText="1"/>
      <protection hidden="1"/>
    </xf>
    <xf numFmtId="4" fontId="13" fillId="3" borderId="59" xfId="0" applyNumberFormat="1" applyFont="1" applyFill="1" applyBorder="1" applyAlignment="1" applyProtection="1">
      <alignment horizontal="center" vertical="center"/>
      <protection hidden="1"/>
    </xf>
    <xf numFmtId="4" fontId="13" fillId="3" borderId="11" xfId="0" applyNumberFormat="1" applyFont="1" applyFill="1" applyBorder="1" applyAlignment="1" applyProtection="1">
      <alignment horizontal="center" vertical="center"/>
      <protection hidden="1"/>
    </xf>
    <xf numFmtId="0" fontId="0" fillId="3" borderId="6" xfId="0" applyFill="1" applyBorder="1" applyAlignment="1">
      <alignment horizontal="center" vertical="center"/>
    </xf>
    <xf numFmtId="0" fontId="0" fillId="3" borderId="19" xfId="0" applyFill="1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2" fontId="10" fillId="3" borderId="25" xfId="0" applyNumberFormat="1" applyFont="1" applyFill="1" applyBorder="1" applyAlignment="1" applyProtection="1">
      <alignment horizontal="center" vertical="center"/>
      <protection hidden="1"/>
    </xf>
    <xf numFmtId="2" fontId="10" fillId="3" borderId="6" xfId="0" applyNumberFormat="1" applyFont="1" applyFill="1" applyBorder="1" applyAlignment="1" applyProtection="1">
      <alignment horizontal="center" vertical="center"/>
      <protection hidden="1"/>
    </xf>
    <xf numFmtId="2" fontId="10" fillId="3" borderId="11" xfId="0" applyNumberFormat="1" applyFont="1" applyFill="1" applyBorder="1" applyAlignment="1" applyProtection="1">
      <alignment horizontal="center" vertical="center"/>
      <protection hidden="1"/>
    </xf>
    <xf numFmtId="0" fontId="13" fillId="6" borderId="25" xfId="0" applyFont="1" applyFill="1" applyBorder="1" applyAlignment="1" applyProtection="1">
      <alignment horizontal="center" vertical="center"/>
      <protection locked="0"/>
    </xf>
    <xf numFmtId="0" fontId="13" fillId="6" borderId="6" xfId="0" applyFont="1" applyFill="1" applyBorder="1" applyAlignment="1" applyProtection="1">
      <alignment horizontal="center" vertical="center"/>
      <protection locked="0"/>
    </xf>
    <xf numFmtId="3" fontId="14" fillId="0" borderId="19" xfId="0" applyNumberFormat="1" applyFont="1" applyBorder="1" applyAlignment="1" applyProtection="1">
      <alignment horizontal="center" vertical="center"/>
      <protection hidden="1"/>
    </xf>
    <xf numFmtId="3" fontId="0" fillId="0" borderId="0" xfId="3" applyFont="1" applyAlignment="1" applyProtection="1">
      <alignment horizontal="left"/>
      <protection hidden="1"/>
    </xf>
    <xf numFmtId="0" fontId="10" fillId="0" borderId="0" xfId="0" applyFont="1" applyAlignment="1" applyProtection="1">
      <alignment horizontal="center"/>
      <protection hidden="1"/>
    </xf>
    <xf numFmtId="0" fontId="10" fillId="0" borderId="52" xfId="0" applyFont="1" applyBorder="1" applyAlignment="1" applyProtection="1">
      <alignment horizontal="center"/>
      <protection hidden="1"/>
    </xf>
    <xf numFmtId="0" fontId="0" fillId="0" borderId="51" xfId="0" applyBorder="1" applyProtection="1">
      <protection hidden="1"/>
    </xf>
    <xf numFmtId="0" fontId="10" fillId="0" borderId="62" xfId="0" applyFont="1" applyBorder="1" applyAlignment="1" applyProtection="1">
      <alignment horizontal="center"/>
      <protection hidden="1"/>
    </xf>
    <xf numFmtId="0" fontId="12" fillId="0" borderId="0" xfId="0" applyFont="1" applyProtection="1">
      <protection hidden="1"/>
    </xf>
    <xf numFmtId="0" fontId="12" fillId="0" borderId="7" xfId="0" applyFont="1" applyBorder="1" applyProtection="1">
      <protection hidden="1"/>
    </xf>
    <xf numFmtId="0" fontId="12" fillId="0" borderId="61" xfId="0" applyFont="1" applyBorder="1" applyAlignment="1" applyProtection="1">
      <alignment horizontal="center" textRotation="90"/>
      <protection hidden="1"/>
    </xf>
    <xf numFmtId="0" fontId="13" fillId="2" borderId="3" xfId="0" applyFont="1" applyFill="1" applyBorder="1" applyAlignment="1" applyProtection="1">
      <alignment horizontal="center" vertical="center" wrapText="1"/>
      <protection locked="0"/>
    </xf>
    <xf numFmtId="2" fontId="13" fillId="2" borderId="6" xfId="0" applyNumberFormat="1" applyFont="1" applyFill="1" applyBorder="1" applyAlignment="1" applyProtection="1">
      <alignment horizontal="center" vertical="center"/>
      <protection locked="0"/>
    </xf>
    <xf numFmtId="0" fontId="4" fillId="0" borderId="2" xfId="0" applyFont="1" applyBorder="1" applyProtection="1">
      <protection hidden="1"/>
    </xf>
    <xf numFmtId="0" fontId="17" fillId="0" borderId="0" xfId="0" applyFont="1" applyProtection="1">
      <protection hidden="1"/>
    </xf>
    <xf numFmtId="0" fontId="10" fillId="2" borderId="30" xfId="0" applyFont="1" applyFill="1" applyBorder="1" applyAlignment="1" applyProtection="1">
      <alignment wrapText="1"/>
      <protection locked="0"/>
    </xf>
    <xf numFmtId="0" fontId="12" fillId="2" borderId="6" xfId="0" applyFont="1" applyFill="1" applyBorder="1" applyAlignment="1" applyProtection="1">
      <alignment horizontal="center" vertical="center"/>
      <protection locked="0"/>
    </xf>
    <xf numFmtId="2" fontId="10" fillId="2" borderId="6" xfId="0" applyNumberFormat="1" applyFont="1" applyFill="1" applyBorder="1" applyAlignment="1" applyProtection="1">
      <alignment horizontal="center" vertical="center"/>
      <protection locked="0"/>
    </xf>
    <xf numFmtId="0" fontId="10" fillId="2" borderId="6" xfId="0" applyFont="1" applyFill="1" applyBorder="1" applyAlignment="1" applyProtection="1">
      <alignment horizontal="center" vertical="center"/>
      <protection locked="0"/>
    </xf>
    <xf numFmtId="0" fontId="10" fillId="2" borderId="31" xfId="0" applyFont="1" applyFill="1" applyBorder="1" applyAlignment="1" applyProtection="1">
      <alignment wrapText="1"/>
      <protection locked="0"/>
    </xf>
    <xf numFmtId="0" fontId="12" fillId="2" borderId="19" xfId="0" applyFont="1" applyFill="1" applyBorder="1" applyAlignment="1" applyProtection="1">
      <alignment horizontal="center" vertical="center"/>
      <protection locked="0"/>
    </xf>
    <xf numFmtId="2" fontId="10" fillId="2" borderId="19" xfId="0" applyNumberFormat="1" applyFont="1" applyFill="1" applyBorder="1" applyAlignment="1" applyProtection="1">
      <alignment horizontal="center" vertical="center"/>
      <protection locked="0"/>
    </xf>
    <xf numFmtId="0" fontId="10" fillId="2" borderId="24" xfId="0" applyFont="1" applyFill="1" applyBorder="1" applyAlignment="1" applyProtection="1">
      <alignment horizontal="center" vertical="center"/>
      <protection locked="0"/>
    </xf>
    <xf numFmtId="3" fontId="2" fillId="0" borderId="0" xfId="2" applyFont="1" applyProtection="1">
      <protection hidden="1"/>
    </xf>
    <xf numFmtId="0" fontId="14" fillId="0" borderId="21" xfId="0" applyFont="1" applyBorder="1" applyAlignment="1" applyProtection="1">
      <alignment horizontal="center" wrapText="1"/>
      <protection hidden="1"/>
    </xf>
    <xf numFmtId="4" fontId="14" fillId="0" borderId="18" xfId="0" applyNumberFormat="1" applyFont="1" applyBorder="1" applyAlignment="1" applyProtection="1">
      <alignment horizontal="center" wrapText="1"/>
      <protection hidden="1"/>
    </xf>
    <xf numFmtId="0" fontId="14" fillId="0" borderId="23" xfId="0" applyFont="1" applyBorder="1" applyAlignment="1" applyProtection="1">
      <alignment horizontal="center" wrapText="1"/>
      <protection hidden="1"/>
    </xf>
    <xf numFmtId="0" fontId="14" fillId="0" borderId="39" xfId="0" applyFont="1" applyBorder="1" applyAlignment="1" applyProtection="1">
      <alignment horizontal="center" wrapText="1"/>
      <protection hidden="1"/>
    </xf>
    <xf numFmtId="0" fontId="14" fillId="0" borderId="25" xfId="0" applyFont="1" applyBorder="1" applyAlignment="1" applyProtection="1">
      <alignment horizontal="center" wrapText="1"/>
      <protection hidden="1"/>
    </xf>
    <xf numFmtId="4" fontId="14" fillId="0" borderId="25" xfId="0" applyNumberFormat="1" applyFont="1" applyBorder="1" applyAlignment="1" applyProtection="1">
      <alignment horizontal="center" wrapText="1"/>
      <protection hidden="1"/>
    </xf>
    <xf numFmtId="0" fontId="14" fillId="0" borderId="26" xfId="0" applyFont="1" applyBorder="1" applyAlignment="1" applyProtection="1">
      <alignment horizontal="center" wrapText="1"/>
      <protection hidden="1"/>
    </xf>
    <xf numFmtId="0" fontId="13" fillId="0" borderId="0" xfId="0" applyFont="1" applyAlignment="1" applyProtection="1">
      <alignment horizontal="center"/>
      <protection hidden="1"/>
    </xf>
    <xf numFmtId="0" fontId="13" fillId="0" borderId="0" xfId="0" applyFont="1" applyProtection="1">
      <protection hidden="1"/>
    </xf>
    <xf numFmtId="0" fontId="14" fillId="0" borderId="20" xfId="0" applyFont="1" applyBorder="1" applyAlignment="1" applyProtection="1">
      <alignment horizontal="center" wrapText="1"/>
      <protection hidden="1"/>
    </xf>
    <xf numFmtId="0" fontId="14" fillId="0" borderId="56" xfId="0" applyFont="1" applyBorder="1" applyAlignment="1" applyProtection="1">
      <alignment horizontal="center" wrapText="1"/>
      <protection hidden="1"/>
    </xf>
    <xf numFmtId="0" fontId="14" fillId="0" borderId="67" xfId="0" applyFont="1" applyBorder="1" applyAlignment="1" applyProtection="1">
      <alignment horizontal="center" wrapText="1"/>
      <protection hidden="1"/>
    </xf>
    <xf numFmtId="4" fontId="14" fillId="0" borderId="41" xfId="0" applyNumberFormat="1" applyFont="1" applyBorder="1" applyAlignment="1" applyProtection="1">
      <alignment horizontal="center" wrapText="1"/>
      <protection hidden="1"/>
    </xf>
    <xf numFmtId="0" fontId="13" fillId="8" borderId="19" xfId="0" applyFont="1" applyFill="1" applyBorder="1" applyProtection="1">
      <protection hidden="1"/>
    </xf>
    <xf numFmtId="0" fontId="14" fillId="0" borderId="64" xfId="0" applyFont="1" applyBorder="1" applyAlignment="1" applyProtection="1">
      <alignment horizontal="center" wrapText="1"/>
      <protection hidden="1"/>
    </xf>
    <xf numFmtId="0" fontId="2" fillId="0" borderId="51" xfId="0" applyFont="1" applyBorder="1" applyAlignment="1" applyProtection="1">
      <alignment horizontal="right"/>
      <protection hidden="1"/>
    </xf>
    <xf numFmtId="0" fontId="10" fillId="0" borderId="6" xfId="0" applyFont="1" applyBorder="1" applyAlignment="1" applyProtection="1">
      <alignment horizontal="right"/>
      <protection hidden="1"/>
    </xf>
    <xf numFmtId="3" fontId="10" fillId="0" borderId="6" xfId="0" applyNumberFormat="1" applyFont="1" applyBorder="1" applyAlignment="1" applyProtection="1">
      <alignment horizontal="left"/>
      <protection hidden="1"/>
    </xf>
    <xf numFmtId="0" fontId="13" fillId="0" borderId="38" xfId="0" applyFont="1" applyBorder="1" applyAlignment="1" applyProtection="1">
      <alignment horizontal="center"/>
      <protection hidden="1"/>
    </xf>
    <xf numFmtId="1" fontId="0" fillId="0" borderId="16" xfId="0" applyNumberFormat="1" applyBorder="1" applyProtection="1">
      <protection hidden="1"/>
    </xf>
    <xf numFmtId="0" fontId="8" fillId="6" borderId="0" xfId="0" applyFont="1" applyFill="1" applyProtection="1">
      <protection hidden="1"/>
    </xf>
    <xf numFmtId="0" fontId="4" fillId="0" borderId="0" xfId="0" applyFont="1" applyAlignment="1">
      <alignment horizontal="right"/>
    </xf>
    <xf numFmtId="3" fontId="2" fillId="0" borderId="1" xfId="4" applyFont="1" applyBorder="1"/>
    <xf numFmtId="3" fontId="2" fillId="0" borderId="2" xfId="4" applyFont="1" applyBorder="1"/>
    <xf numFmtId="0" fontId="8" fillId="0" borderId="0" xfId="0" applyFont="1" applyAlignment="1">
      <alignment horizontal="center"/>
    </xf>
    <xf numFmtId="0" fontId="10" fillId="0" borderId="0" xfId="0" applyFont="1" applyAlignment="1">
      <alignment horizontal="right"/>
    </xf>
    <xf numFmtId="3" fontId="10" fillId="0" borderId="0" xfId="3" applyFont="1"/>
    <xf numFmtId="3" fontId="10" fillId="0" borderId="0" xfId="3" applyFont="1" applyAlignment="1">
      <alignment horizontal="right"/>
    </xf>
    <xf numFmtId="164" fontId="10" fillId="0" borderId="0" xfId="7" applyNumberFormat="1" applyFont="1" applyAlignment="1">
      <alignment horizontal="left"/>
    </xf>
    <xf numFmtId="0" fontId="10" fillId="0" borderId="0" xfId="0" applyFont="1" applyAlignment="1">
      <alignment horizontal="center"/>
    </xf>
    <xf numFmtId="0" fontId="10" fillId="0" borderId="0" xfId="5" applyFont="1" applyAlignment="1">
      <alignment horizontal="right"/>
    </xf>
    <xf numFmtId="0" fontId="10" fillId="0" borderId="0" xfId="0" applyFont="1"/>
    <xf numFmtId="0" fontId="0" fillId="0" borderId="0" xfId="0" applyAlignment="1">
      <alignment horizontal="right" wrapText="1"/>
    </xf>
    <xf numFmtId="0" fontId="2" fillId="0" borderId="18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0" fillId="0" borderId="0" xfId="0" applyAlignment="1">
      <alignment horizontal="right"/>
    </xf>
    <xf numFmtId="1" fontId="0" fillId="0" borderId="0" xfId="0" applyNumberFormat="1"/>
    <xf numFmtId="164" fontId="2" fillId="0" borderId="0" xfId="7" applyNumberFormat="1" applyFont="1" applyAlignment="1">
      <alignment horizontal="left"/>
    </xf>
    <xf numFmtId="0" fontId="0" fillId="0" borderId="19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39" xfId="0" applyBorder="1" applyAlignment="1">
      <alignment horizontal="right" vertical="center"/>
    </xf>
    <xf numFmtId="0" fontId="8" fillId="0" borderId="0" xfId="0" applyFont="1"/>
    <xf numFmtId="0" fontId="2" fillId="0" borderId="3" xfId="0" applyFont="1" applyBorder="1" applyAlignment="1">
      <alignment horizontal="right" vertical="center"/>
    </xf>
    <xf numFmtId="1" fontId="8" fillId="0" borderId="0" xfId="0" applyNumberFormat="1" applyFont="1"/>
    <xf numFmtId="0" fontId="8" fillId="0" borderId="3" xfId="0" applyFont="1" applyBorder="1" applyAlignment="1">
      <alignment horizontal="right" vertical="center"/>
    </xf>
    <xf numFmtId="0" fontId="0" fillId="0" borderId="3" xfId="0" applyBorder="1" applyAlignment="1">
      <alignment horizontal="right" vertical="center" wrapText="1"/>
    </xf>
    <xf numFmtId="0" fontId="8" fillId="0" borderId="22" xfId="0" applyFont="1" applyBorder="1" applyAlignment="1">
      <alignment horizontal="right" vertical="center"/>
    </xf>
    <xf numFmtId="0" fontId="0" fillId="0" borderId="19" xfId="0" applyBorder="1" applyAlignment="1">
      <alignment horizontal="center" vertical="center"/>
    </xf>
    <xf numFmtId="165" fontId="2" fillId="0" borderId="0" xfId="7" applyNumberFormat="1" applyFont="1" applyAlignment="1">
      <alignment horizontal="right"/>
    </xf>
    <xf numFmtId="1" fontId="8" fillId="0" borderId="0" xfId="0" applyNumberFormat="1" applyFont="1" applyAlignment="1">
      <alignment horizontal="center"/>
    </xf>
    <xf numFmtId="0" fontId="8" fillId="0" borderId="0" xfId="0" applyFont="1" applyAlignment="1">
      <alignment horizontal="left"/>
    </xf>
    <xf numFmtId="3" fontId="2" fillId="0" borderId="0" xfId="3" applyFont="1" applyAlignment="1">
      <alignment horizontal="center"/>
    </xf>
    <xf numFmtId="164" fontId="2" fillId="0" borderId="0" xfId="7" applyNumberFormat="1" applyFont="1" applyAlignment="1">
      <alignment horizontal="center"/>
    </xf>
    <xf numFmtId="165" fontId="2" fillId="0" borderId="0" xfId="7" applyNumberFormat="1" applyFont="1" applyAlignment="1">
      <alignment horizontal="center"/>
    </xf>
    <xf numFmtId="166" fontId="2" fillId="0" borderId="0" xfId="3" applyNumberFormat="1" applyFont="1" applyAlignment="1">
      <alignment horizontal="right"/>
    </xf>
    <xf numFmtId="165" fontId="2" fillId="0" borderId="0" xfId="7" applyNumberFormat="1" applyFont="1"/>
    <xf numFmtId="165" fontId="11" fillId="0" borderId="0" xfId="7" applyNumberFormat="1" applyFont="1" applyAlignment="1">
      <alignment horizontal="right"/>
    </xf>
    <xf numFmtId="164" fontId="2" fillId="0" borderId="0" xfId="7" applyNumberFormat="1" applyFont="1"/>
    <xf numFmtId="3" fontId="2" fillId="0" borderId="0" xfId="3" applyFont="1" applyAlignment="1">
      <alignment horizontal="right"/>
    </xf>
    <xf numFmtId="164" fontId="2" fillId="0" borderId="0" xfId="7" applyNumberFormat="1" applyFont="1" applyAlignment="1">
      <alignment horizontal="right"/>
    </xf>
    <xf numFmtId="165" fontId="10" fillId="0" borderId="0" xfId="9" applyNumberFormat="1" applyFont="1" applyAlignment="1">
      <alignment horizontal="right"/>
    </xf>
    <xf numFmtId="165" fontId="10" fillId="0" borderId="0" xfId="5" applyNumberFormat="1" applyFont="1" applyAlignment="1">
      <alignment horizontal="right"/>
    </xf>
    <xf numFmtId="165" fontId="8" fillId="0" borderId="0" xfId="5" applyNumberFormat="1" applyFont="1" applyAlignment="1">
      <alignment horizontal="right"/>
    </xf>
    <xf numFmtId="3" fontId="2" fillId="0" borderId="0" xfId="6" applyFont="1"/>
    <xf numFmtId="0" fontId="2" fillId="0" borderId="0" xfId="5" applyFont="1" applyAlignment="1">
      <alignment horizontal="right"/>
    </xf>
    <xf numFmtId="167" fontId="2" fillId="0" borderId="0" xfId="7" applyNumberFormat="1" applyFont="1" applyAlignment="1">
      <alignment horizontal="center"/>
    </xf>
    <xf numFmtId="3" fontId="2" fillId="0" borderId="0" xfId="3" applyFont="1"/>
    <xf numFmtId="14" fontId="2" fillId="0" borderId="0" xfId="3" applyNumberFormat="1" applyFont="1" applyAlignment="1">
      <alignment horizontal="left"/>
    </xf>
    <xf numFmtId="3" fontId="2" fillId="0" borderId="0" xfId="4" applyFont="1" applyAlignment="1">
      <alignment horizontal="right"/>
    </xf>
    <xf numFmtId="164" fontId="2" fillId="0" borderId="0" xfId="8" applyNumberFormat="1" applyFont="1" applyAlignment="1">
      <alignment horizontal="right"/>
    </xf>
    <xf numFmtId="3" fontId="2" fillId="0" borderId="0" xfId="3" applyFont="1" applyAlignment="1">
      <alignment horizontal="left"/>
    </xf>
    <xf numFmtId="165" fontId="2" fillId="0" borderId="0" xfId="5" applyNumberFormat="1" applyFont="1" applyAlignment="1">
      <alignment horizontal="left"/>
    </xf>
    <xf numFmtId="0" fontId="2" fillId="0" borderId="0" xfId="5" applyFont="1" applyAlignment="1">
      <alignment horizontal="left"/>
    </xf>
    <xf numFmtId="0" fontId="2" fillId="0" borderId="0" xfId="5" applyFont="1"/>
    <xf numFmtId="3" fontId="9" fillId="0" borderId="0" xfId="4" applyFont="1" applyAlignment="1">
      <alignment horizontal="left"/>
    </xf>
    <xf numFmtId="3" fontId="2" fillId="0" borderId="0" xfId="4" applyFont="1"/>
    <xf numFmtId="3" fontId="2" fillId="0" borderId="0" xfId="4" applyFont="1" applyAlignment="1">
      <alignment horizontal="left"/>
    </xf>
    <xf numFmtId="0" fontId="5" fillId="0" borderId="0" xfId="0" applyFont="1" applyProtection="1">
      <protection hidden="1"/>
    </xf>
    <xf numFmtId="0" fontId="0" fillId="0" borderId="0" xfId="0" applyProtection="1">
      <protection hidden="1"/>
    </xf>
    <xf numFmtId="0" fontId="0" fillId="0" borderId="1" xfId="0" applyBorder="1" applyProtection="1">
      <protection hidden="1"/>
    </xf>
    <xf numFmtId="0" fontId="12" fillId="0" borderId="0" xfId="0" applyFont="1" applyAlignment="1" applyProtection="1">
      <alignment horizontal="center" textRotation="90" wrapText="1"/>
      <protection hidden="1"/>
    </xf>
    <xf numFmtId="0" fontId="0" fillId="0" borderId="6" xfId="0" applyBorder="1" applyAlignment="1">
      <alignment horizontal="center" vertical="center"/>
    </xf>
    <xf numFmtId="0" fontId="5" fillId="0" borderId="0" xfId="0" applyFont="1"/>
    <xf numFmtId="0" fontId="0" fillId="0" borderId="1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 applyAlignment="1" applyProtection="1">
      <alignment horizontal="center"/>
      <protection hidden="1"/>
    </xf>
    <xf numFmtId="0" fontId="12" fillId="0" borderId="21" xfId="0" applyFont="1" applyBorder="1" applyAlignment="1" applyProtection="1">
      <alignment horizontal="center" vertical="center" wrapText="1"/>
      <protection hidden="1"/>
    </xf>
    <xf numFmtId="0" fontId="12" fillId="0" borderId="18" xfId="0" applyFont="1" applyBorder="1" applyAlignment="1" applyProtection="1">
      <alignment horizontal="center" vertical="center" wrapText="1"/>
      <protection hidden="1"/>
    </xf>
    <xf numFmtId="0" fontId="4" fillId="0" borderId="0" xfId="0" applyFont="1"/>
    <xf numFmtId="0" fontId="4" fillId="0" borderId="1" xfId="0" applyFont="1" applyBorder="1"/>
    <xf numFmtId="0" fontId="8" fillId="0" borderId="0" xfId="0" applyFont="1" applyAlignment="1" applyProtection="1">
      <alignment horizontal="center"/>
      <protection hidden="1"/>
    </xf>
    <xf numFmtId="0" fontId="10" fillId="0" borderId="0" xfId="0" applyFont="1" applyAlignment="1" applyProtection="1">
      <alignment horizontal="right"/>
      <protection hidden="1"/>
    </xf>
    <xf numFmtId="0" fontId="0" fillId="0" borderId="17" xfId="0" applyBorder="1" applyProtection="1">
      <protection hidden="1"/>
    </xf>
    <xf numFmtId="0" fontId="10" fillId="0" borderId="0" xfId="0" applyFont="1" applyAlignment="1" applyProtection="1">
      <alignment horizontal="left"/>
      <protection hidden="1"/>
    </xf>
    <xf numFmtId="0" fontId="0" fillId="0" borderId="0" xfId="0" applyAlignment="1" applyProtection="1">
      <alignment horizontal="left"/>
      <protection hidden="1"/>
    </xf>
    <xf numFmtId="0" fontId="13" fillId="0" borderId="0" xfId="0" applyFont="1" applyAlignment="1" applyProtection="1">
      <alignment wrapText="1"/>
      <protection hidden="1"/>
    </xf>
    <xf numFmtId="0" fontId="0" fillId="0" borderId="0" xfId="0"/>
    <xf numFmtId="0" fontId="4" fillId="0" borderId="0" xfId="0" applyFont="1" applyProtection="1">
      <protection hidden="1"/>
    </xf>
    <xf numFmtId="0" fontId="4" fillId="0" borderId="1" xfId="0" applyFont="1" applyBorder="1" applyProtection="1">
      <protection hidden="1"/>
    </xf>
    <xf numFmtId="0" fontId="3" fillId="0" borderId="0" xfId="0" applyFont="1" applyAlignment="1" applyProtection="1">
      <alignment horizontal="left"/>
      <protection hidden="1"/>
    </xf>
    <xf numFmtId="0" fontId="6" fillId="0" borderId="38" xfId="0" applyFont="1" applyBorder="1" applyAlignment="1">
      <alignment horizontal="left"/>
    </xf>
    <xf numFmtId="0" fontId="14" fillId="0" borderId="0" xfId="0" applyFont="1" applyAlignment="1">
      <alignment horizontal="right"/>
    </xf>
    <xf numFmtId="0" fontId="25" fillId="0" borderId="38" xfId="0" applyFont="1" applyBorder="1"/>
    <xf numFmtId="0" fontId="14" fillId="0" borderId="0" xfId="0" applyFont="1" applyAlignment="1" applyProtection="1">
      <alignment horizontal="center" textRotation="90" wrapText="1"/>
      <protection locked="0"/>
    </xf>
    <xf numFmtId="0" fontId="8" fillId="0" borderId="38" xfId="0" applyFont="1" applyBorder="1" applyAlignment="1" applyProtection="1">
      <alignment horizontal="center"/>
      <protection hidden="1"/>
    </xf>
    <xf numFmtId="0" fontId="18" fillId="0" borderId="50" xfId="0" applyFont="1" applyBorder="1" applyAlignment="1" applyProtection="1">
      <alignment horizontal="left" vertical="top" wrapText="1" indent="1"/>
      <protection hidden="1"/>
    </xf>
    <xf numFmtId="0" fontId="18" fillId="0" borderId="27" xfId="0" applyFont="1" applyBorder="1" applyAlignment="1" applyProtection="1">
      <alignment horizontal="left" vertical="top" wrapText="1" indent="1"/>
      <protection hidden="1"/>
    </xf>
    <xf numFmtId="168" fontId="8" fillId="0" borderId="0" xfId="0" applyNumberFormat="1" applyFont="1" applyProtection="1">
      <protection hidden="1"/>
    </xf>
    <xf numFmtId="170" fontId="0" fillId="0" borderId="0" xfId="0" applyNumberFormat="1" applyAlignment="1" applyProtection="1">
      <alignment horizontal="right" wrapText="1"/>
      <protection hidden="1"/>
    </xf>
    <xf numFmtId="171" fontId="2" fillId="0" borderId="0" xfId="3" applyNumberFormat="1" applyFont="1" applyAlignment="1" applyProtection="1">
      <alignment horizontal="right"/>
      <protection hidden="1"/>
    </xf>
    <xf numFmtId="168" fontId="13" fillId="3" borderId="6" xfId="0" applyNumberFormat="1" applyFont="1" applyFill="1" applyBorder="1" applyAlignment="1">
      <alignment horizontal="center" vertical="center"/>
    </xf>
    <xf numFmtId="168" fontId="13" fillId="3" borderId="19" xfId="0" applyNumberFormat="1" applyFont="1" applyFill="1" applyBorder="1" applyAlignment="1">
      <alignment horizontal="center" vertical="center"/>
    </xf>
    <xf numFmtId="168" fontId="13" fillId="0" borderId="25" xfId="0" applyNumberFormat="1" applyFont="1" applyBorder="1" applyAlignment="1" applyProtection="1">
      <alignment horizontal="right"/>
      <protection hidden="1"/>
    </xf>
    <xf numFmtId="168" fontId="13" fillId="0" borderId="7" xfId="0" applyNumberFormat="1" applyFont="1" applyBorder="1" applyAlignment="1" applyProtection="1">
      <alignment horizontal="right"/>
      <protection hidden="1"/>
    </xf>
    <xf numFmtId="168" fontId="13" fillId="0" borderId="7" xfId="0" applyNumberFormat="1" applyFont="1" applyBorder="1" applyAlignment="1" applyProtection="1">
      <alignment horizontal="center"/>
      <protection hidden="1"/>
    </xf>
    <xf numFmtId="168" fontId="13" fillId="0" borderId="26" xfId="0" applyNumberFormat="1" applyFont="1" applyBorder="1" applyAlignment="1" applyProtection="1">
      <alignment horizontal="right"/>
      <protection hidden="1"/>
    </xf>
    <xf numFmtId="168" fontId="13" fillId="0" borderId="57" xfId="0" applyNumberFormat="1" applyFont="1" applyBorder="1" applyAlignment="1" applyProtection="1">
      <alignment horizontal="right"/>
      <protection hidden="1"/>
    </xf>
    <xf numFmtId="168" fontId="13" fillId="0" borderId="6" xfId="0" applyNumberFormat="1" applyFont="1" applyBorder="1" applyAlignment="1" applyProtection="1">
      <alignment horizontal="right"/>
      <protection hidden="1"/>
    </xf>
    <xf numFmtId="168" fontId="13" fillId="0" borderId="8" xfId="0" applyNumberFormat="1" applyFont="1" applyBorder="1" applyAlignment="1" applyProtection="1">
      <alignment horizontal="right"/>
      <protection hidden="1"/>
    </xf>
    <xf numFmtId="168" fontId="13" fillId="0" borderId="9" xfId="0" applyNumberFormat="1" applyFont="1" applyBorder="1" applyAlignment="1" applyProtection="1">
      <alignment horizontal="right"/>
      <protection hidden="1"/>
    </xf>
    <xf numFmtId="168" fontId="13" fillId="3" borderId="6" xfId="0" applyNumberFormat="1" applyFont="1" applyFill="1" applyBorder="1" applyAlignment="1">
      <alignment horizontal="center"/>
    </xf>
    <xf numFmtId="168" fontId="13" fillId="3" borderId="11" xfId="0" applyNumberFormat="1" applyFont="1" applyFill="1" applyBorder="1" applyAlignment="1">
      <alignment horizontal="center"/>
    </xf>
    <xf numFmtId="169" fontId="14" fillId="0" borderId="28" xfId="0" applyNumberFormat="1" applyFont="1" applyBorder="1" applyAlignment="1" applyProtection="1">
      <alignment horizontal="center"/>
      <protection hidden="1"/>
    </xf>
    <xf numFmtId="168" fontId="13" fillId="0" borderId="11" xfId="0" applyNumberFormat="1" applyFont="1" applyBorder="1" applyAlignment="1" applyProtection="1">
      <alignment horizontal="right"/>
      <protection hidden="1"/>
    </xf>
    <xf numFmtId="174" fontId="0" fillId="0" borderId="0" xfId="0" applyNumberFormat="1"/>
    <xf numFmtId="174" fontId="14" fillId="0" borderId="6" xfId="0" applyNumberFormat="1" applyFont="1" applyBorder="1" applyAlignment="1" applyProtection="1">
      <alignment horizontal="center" vertical="center"/>
      <protection hidden="1"/>
    </xf>
    <xf numFmtId="169" fontId="14" fillId="0" borderId="28" xfId="0" applyNumberFormat="1" applyFont="1" applyBorder="1" applyAlignment="1" applyProtection="1">
      <alignment horizontal="center" vertical="center"/>
      <protection hidden="1"/>
    </xf>
    <xf numFmtId="176" fontId="0" fillId="0" borderId="0" xfId="0" applyNumberFormat="1" applyAlignment="1">
      <alignment horizontal="right" wrapText="1"/>
    </xf>
    <xf numFmtId="168" fontId="0" fillId="0" borderId="26" xfId="0" applyNumberFormat="1" applyBorder="1" applyAlignment="1">
      <alignment horizontal="center" vertical="center"/>
    </xf>
    <xf numFmtId="168" fontId="0" fillId="0" borderId="8" xfId="0" applyNumberFormat="1" applyBorder="1" applyAlignment="1">
      <alignment horizontal="center" vertical="center"/>
    </xf>
    <xf numFmtId="168" fontId="0" fillId="2" borderId="8" xfId="0" applyNumberFormat="1" applyFill="1" applyBorder="1" applyAlignment="1" applyProtection="1">
      <alignment horizontal="center" vertical="center"/>
      <protection locked="0"/>
    </xf>
    <xf numFmtId="169" fontId="8" fillId="0" borderId="24" xfId="0" applyNumberFormat="1" applyFont="1" applyBorder="1" applyAlignment="1">
      <alignment horizontal="center" vertical="center"/>
    </xf>
    <xf numFmtId="177" fontId="8" fillId="0" borderId="0" xfId="0" applyNumberFormat="1" applyFont="1" applyAlignment="1">
      <alignment horizontal="left"/>
    </xf>
    <xf numFmtId="168" fontId="0" fillId="0" borderId="0" xfId="0" applyNumberFormat="1"/>
    <xf numFmtId="172" fontId="14" fillId="2" borderId="6" xfId="0" applyNumberFormat="1" applyFont="1" applyFill="1" applyBorder="1" applyAlignment="1" applyProtection="1">
      <alignment horizontal="center" vertical="center"/>
      <protection locked="0"/>
    </xf>
    <xf numFmtId="172" fontId="14" fillId="0" borderId="6" xfId="0" applyNumberFormat="1" applyFont="1" applyBorder="1" applyAlignment="1" applyProtection="1">
      <alignment horizontal="center" vertical="center"/>
      <protection hidden="1"/>
    </xf>
    <xf numFmtId="172" fontId="14" fillId="2" borderId="19" xfId="0" applyNumberFormat="1" applyFont="1" applyFill="1" applyBorder="1" applyAlignment="1" applyProtection="1">
      <alignment horizontal="center" vertical="center"/>
      <protection locked="0"/>
    </xf>
    <xf numFmtId="172" fontId="14" fillId="0" borderId="19" xfId="0" applyNumberFormat="1" applyFont="1" applyBorder="1" applyAlignment="1" applyProtection="1">
      <alignment horizontal="center" vertical="center"/>
      <protection hidden="1"/>
    </xf>
    <xf numFmtId="168" fontId="0" fillId="5" borderId="6" xfId="0" applyNumberFormat="1" applyFill="1" applyBorder="1" applyAlignment="1">
      <alignment horizontal="center"/>
    </xf>
    <xf numFmtId="168" fontId="0" fillId="0" borderId="0" xfId="0" applyNumberFormat="1" applyAlignment="1">
      <alignment horizontal="center"/>
    </xf>
    <xf numFmtId="0" fontId="0" fillId="0" borderId="0" xfId="0" applyProtection="1">
      <protection hidden="1"/>
    </xf>
    <xf numFmtId="0" fontId="0" fillId="0" borderId="1" xfId="0" applyBorder="1" applyProtection="1">
      <protection hidden="1"/>
    </xf>
    <xf numFmtId="0" fontId="8" fillId="0" borderId="0" xfId="0" applyFont="1" applyFill="1" applyBorder="1" applyProtection="1">
      <protection hidden="1"/>
    </xf>
    <xf numFmtId="0" fontId="8" fillId="0" borderId="0" xfId="0" applyFont="1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hidden="1"/>
    </xf>
    <xf numFmtId="3" fontId="12" fillId="0" borderId="0" xfId="3" applyFont="1" applyFill="1" applyBorder="1" applyAlignment="1" applyProtection="1">
      <alignment horizontal="left"/>
      <protection hidden="1"/>
    </xf>
    <xf numFmtId="3" fontId="12" fillId="0" borderId="0" xfId="3" applyFont="1" applyFill="1" applyBorder="1" applyAlignment="1" applyProtection="1">
      <alignment horizontal="center" vertical="center"/>
      <protection hidden="1"/>
    </xf>
    <xf numFmtId="0" fontId="0" fillId="0" borderId="0" xfId="0" applyFill="1" applyBorder="1" applyProtection="1">
      <protection hidden="1"/>
    </xf>
    <xf numFmtId="3" fontId="10" fillId="0" borderId="0" xfId="3" applyFont="1" applyFill="1" applyBorder="1" applyProtection="1">
      <protection hidden="1"/>
    </xf>
    <xf numFmtId="3" fontId="2" fillId="0" borderId="0" xfId="3" applyFont="1" applyFill="1" applyBorder="1" applyAlignment="1" applyProtection="1">
      <alignment horizontal="left"/>
      <protection hidden="1"/>
    </xf>
    <xf numFmtId="3" fontId="2" fillId="0" borderId="0" xfId="3" applyFont="1" applyBorder="1" applyAlignment="1" applyProtection="1">
      <alignment horizontal="center" vertical="center" wrapText="1"/>
      <protection hidden="1"/>
    </xf>
    <xf numFmtId="175" fontId="2" fillId="0" borderId="0" xfId="3" applyNumberFormat="1" applyFont="1" applyBorder="1" applyAlignment="1" applyProtection="1">
      <alignment horizontal="center" vertical="center"/>
      <protection hidden="1"/>
    </xf>
    <xf numFmtId="173" fontId="2" fillId="0" borderId="0" xfId="3" applyNumberFormat="1" applyFont="1" applyBorder="1" applyAlignment="1" applyProtection="1">
      <alignment horizontal="center" vertical="center"/>
      <protection hidden="1"/>
    </xf>
    <xf numFmtId="0" fontId="5" fillId="0" borderId="1" xfId="0" applyFont="1" applyBorder="1" applyAlignment="1" applyProtection="1">
      <protection hidden="1"/>
    </xf>
    <xf numFmtId="0" fontId="0" fillId="0" borderId="0" xfId="0" applyAlignment="1" applyProtection="1">
      <protection hidden="1"/>
    </xf>
    <xf numFmtId="0" fontId="0" fillId="0" borderId="1" xfId="0" applyBorder="1" applyAlignment="1" applyProtection="1">
      <protection hidden="1"/>
    </xf>
    <xf numFmtId="0" fontId="19" fillId="0" borderId="6" xfId="0" applyFont="1" applyBorder="1" applyAlignment="1" applyProtection="1">
      <alignment horizontal="center"/>
      <protection hidden="1"/>
    </xf>
    <xf numFmtId="0" fontId="0" fillId="0" borderId="1" xfId="0" applyBorder="1" applyAlignment="1"/>
    <xf numFmtId="0" fontId="4" fillId="0" borderId="1" xfId="0" applyFont="1" applyBorder="1" applyAlignment="1">
      <alignment horizontal="center"/>
    </xf>
    <xf numFmtId="3" fontId="2" fillId="0" borderId="1" xfId="4" applyFont="1" applyBorder="1" applyAlignment="1">
      <alignment horizontal="center"/>
    </xf>
    <xf numFmtId="0" fontId="0" fillId="0" borderId="1" xfId="0" applyBorder="1" applyAlignment="1">
      <alignment horizontal="center"/>
    </xf>
    <xf numFmtId="3" fontId="19" fillId="0" borderId="43" xfId="3" applyFont="1" applyBorder="1" applyAlignment="1" applyProtection="1">
      <alignment horizontal="left"/>
      <protection hidden="1"/>
    </xf>
    <xf numFmtId="180" fontId="10" fillId="0" borderId="6" xfId="3" applyNumberFormat="1" applyFont="1" applyBorder="1" applyProtection="1">
      <protection hidden="1"/>
    </xf>
    <xf numFmtId="180" fontId="2" fillId="0" borderId="6" xfId="3" applyNumberFormat="1" applyFont="1" applyBorder="1" applyProtection="1">
      <protection hidden="1"/>
    </xf>
    <xf numFmtId="180" fontId="2" fillId="2" borderId="6" xfId="3" applyNumberFormat="1" applyFont="1" applyFill="1" applyBorder="1" applyProtection="1">
      <protection locked="0"/>
    </xf>
    <xf numFmtId="180" fontId="2" fillId="0" borderId="11" xfId="3" applyNumberFormat="1" applyFont="1" applyBorder="1" applyProtection="1">
      <protection hidden="1"/>
    </xf>
    <xf numFmtId="180" fontId="19" fillId="0" borderId="40" xfId="0" applyNumberFormat="1" applyFont="1" applyBorder="1" applyAlignment="1" applyProtection="1">
      <alignment horizontal="right"/>
      <protection hidden="1"/>
    </xf>
    <xf numFmtId="0" fontId="0" fillId="0" borderId="0" xfId="0" applyAlignment="1">
      <alignment vertical="top" wrapText="1"/>
    </xf>
    <xf numFmtId="3" fontId="3" fillId="0" borderId="1" xfId="4" applyFont="1" applyBorder="1" applyAlignment="1" applyProtection="1">
      <alignment vertical="top" wrapText="1"/>
      <protection locked="0"/>
    </xf>
    <xf numFmtId="3" fontId="2" fillId="0" borderId="1" xfId="4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57" xfId="0" applyBorder="1" applyProtection="1">
      <protection hidden="1"/>
    </xf>
    <xf numFmtId="3" fontId="2" fillId="0" borderId="1" xfId="3" applyFont="1" applyBorder="1" applyAlignment="1" applyProtection="1">
      <alignment horizontal="right" wrapText="1"/>
      <protection hidden="1"/>
    </xf>
    <xf numFmtId="3" fontId="10" fillId="0" borderId="1" xfId="3" applyFont="1" applyBorder="1" applyAlignment="1" applyProtection="1">
      <alignment horizontal="center"/>
      <protection hidden="1"/>
    </xf>
    <xf numFmtId="3" fontId="2" fillId="0" borderId="1" xfId="3" applyFont="1" applyBorder="1" applyAlignment="1" applyProtection="1">
      <alignment horizontal="right"/>
      <protection hidden="1"/>
    </xf>
    <xf numFmtId="165" fontId="2" fillId="0" borderId="58" xfId="7" applyNumberFormat="1" applyFont="1" applyBorder="1" applyAlignment="1" applyProtection="1">
      <alignment horizontal="right"/>
      <protection hidden="1"/>
    </xf>
    <xf numFmtId="0" fontId="8" fillId="2" borderId="6" xfId="0" applyFont="1" applyFill="1" applyBorder="1" applyAlignment="1" applyProtection="1">
      <alignment horizontal="center" vertical="center"/>
      <protection locked="0"/>
    </xf>
    <xf numFmtId="168" fontId="14" fillId="2" borderId="8" xfId="0" applyNumberFormat="1" applyFont="1" applyFill="1" applyBorder="1" applyAlignment="1" applyProtection="1">
      <alignment horizontal="center"/>
    </xf>
    <xf numFmtId="168" fontId="14" fillId="2" borderId="15" xfId="0" applyNumberFormat="1" applyFont="1" applyFill="1" applyBorder="1" applyAlignment="1" applyProtection="1">
      <alignment horizontal="center"/>
    </xf>
    <xf numFmtId="168" fontId="14" fillId="2" borderId="24" xfId="0" applyNumberFormat="1" applyFont="1" applyFill="1" applyBorder="1" applyAlignment="1" applyProtection="1">
      <alignment horizontal="center"/>
    </xf>
    <xf numFmtId="3" fontId="2" fillId="2" borderId="0" xfId="3" applyFont="1" applyFill="1" applyAlignment="1" applyProtection="1">
      <alignment horizontal="left"/>
      <protection locked="0"/>
    </xf>
    <xf numFmtId="0" fontId="0" fillId="0" borderId="0" xfId="0" applyProtection="1">
      <protection locked="0"/>
    </xf>
    <xf numFmtId="0" fontId="14" fillId="0" borderId="0" xfId="0" applyFont="1" applyAlignment="1" applyProtection="1">
      <alignment horizontal="center" textRotation="90" wrapText="1"/>
      <protection hidden="1"/>
    </xf>
    <xf numFmtId="0" fontId="0" fillId="0" borderId="0" xfId="0" applyProtection="1">
      <protection hidden="1"/>
    </xf>
    <xf numFmtId="0" fontId="2" fillId="0" borderId="0" xfId="0" applyFont="1" applyBorder="1" applyAlignment="1" applyProtection="1">
      <alignment horizontal="left" vertical="center" wrapText="1"/>
      <protection hidden="1"/>
    </xf>
    <xf numFmtId="0" fontId="0" fillId="0" borderId="0" xfId="0" applyBorder="1" applyAlignment="1" applyProtection="1">
      <alignment horizontal="left"/>
      <protection hidden="1"/>
    </xf>
    <xf numFmtId="0" fontId="8" fillId="0" borderId="8" xfId="0" applyFont="1" applyBorder="1" applyAlignment="1" applyProtection="1">
      <alignment horizontal="right" vertical="center"/>
      <protection hidden="1"/>
    </xf>
    <xf numFmtId="0" fontId="0" fillId="0" borderId="16" xfId="0" applyBorder="1" applyProtection="1">
      <protection hidden="1"/>
    </xf>
    <xf numFmtId="0" fontId="0" fillId="0" borderId="54" xfId="0" applyBorder="1" applyProtection="1">
      <protection hidden="1"/>
    </xf>
    <xf numFmtId="0" fontId="5" fillId="2" borderId="6" xfId="0" applyFont="1" applyFill="1" applyBorder="1" applyProtection="1">
      <protection locked="0"/>
    </xf>
    <xf numFmtId="0" fontId="5" fillId="0" borderId="16" xfId="0" applyFont="1" applyBorder="1" applyProtection="1">
      <protection locked="0"/>
    </xf>
    <xf numFmtId="0" fontId="5" fillId="0" borderId="54" xfId="0" applyFont="1" applyBorder="1" applyProtection="1">
      <protection locked="0"/>
    </xf>
    <xf numFmtId="0" fontId="10" fillId="0" borderId="0" xfId="0" applyFont="1" applyFill="1" applyBorder="1" applyAlignment="1" applyProtection="1">
      <alignment horizontal="left"/>
      <protection locked="0"/>
    </xf>
    <xf numFmtId="0" fontId="0" fillId="0" borderId="0" xfId="0" applyFill="1" applyBorder="1" applyProtection="1">
      <protection locked="0"/>
    </xf>
    <xf numFmtId="0" fontId="2" fillId="0" borderId="6" xfId="0" applyFont="1" applyBorder="1" applyAlignment="1" applyProtection="1">
      <alignment horizontal="center" vertical="center"/>
      <protection hidden="1"/>
    </xf>
    <xf numFmtId="181" fontId="19" fillId="0" borderId="1" xfId="0" applyNumberFormat="1" applyFont="1" applyBorder="1" applyProtection="1">
      <protection locked="0" hidden="1"/>
    </xf>
    <xf numFmtId="3" fontId="2" fillId="6" borderId="0" xfId="3" applyFont="1" applyFill="1" applyBorder="1" applyAlignment="1" applyProtection="1">
      <alignment horizontal="left" vertical="top" wrapText="1"/>
      <protection locked="0"/>
    </xf>
    <xf numFmtId="0" fontId="2" fillId="0" borderId="0" xfId="0" applyFont="1" applyFill="1" applyBorder="1" applyAlignment="1" applyProtection="1">
      <alignment horizontal="center" vertical="center"/>
      <protection hidden="1"/>
    </xf>
    <xf numFmtId="0" fontId="0" fillId="0" borderId="0" xfId="0" applyFill="1" applyBorder="1" applyProtection="1">
      <protection hidden="1"/>
    </xf>
    <xf numFmtId="0" fontId="12" fillId="0" borderId="0" xfId="0" applyFont="1" applyAlignment="1" applyProtection="1">
      <alignment horizontal="center" textRotation="90" wrapText="1"/>
      <protection hidden="1"/>
    </xf>
    <xf numFmtId="0" fontId="27" fillId="0" borderId="6" xfId="0" applyFont="1" applyFill="1" applyBorder="1" applyAlignment="1" applyProtection="1">
      <alignment horizontal="left"/>
      <protection locked="0"/>
    </xf>
    <xf numFmtId="0" fontId="27" fillId="0" borderId="16" xfId="0" applyFont="1" applyFill="1" applyBorder="1" applyProtection="1">
      <protection locked="0"/>
    </xf>
    <xf numFmtId="0" fontId="27" fillId="0" borderId="54" xfId="0" applyFont="1" applyFill="1" applyBorder="1" applyProtection="1">
      <protection locked="0"/>
    </xf>
    <xf numFmtId="0" fontId="4" fillId="0" borderId="14" xfId="0" applyFont="1" applyBorder="1" applyAlignment="1" applyProtection="1">
      <alignment horizontal="left" vertical="top" wrapText="1"/>
      <protection hidden="1"/>
    </xf>
    <xf numFmtId="0" fontId="4" fillId="0" borderId="2" xfId="0" applyFont="1" applyBorder="1" applyAlignment="1" applyProtection="1">
      <alignment horizontal="left" vertical="top" wrapText="1"/>
      <protection hidden="1"/>
    </xf>
    <xf numFmtId="0" fontId="4" fillId="0" borderId="55" xfId="0" applyFont="1" applyBorder="1" applyAlignment="1" applyProtection="1">
      <alignment horizontal="left" vertical="top" wrapText="1"/>
      <protection hidden="1"/>
    </xf>
    <xf numFmtId="0" fontId="10" fillId="0" borderId="0" xfId="0" applyFont="1" applyAlignment="1" applyProtection="1">
      <alignment horizontal="left" vertical="top" wrapText="1"/>
      <protection hidden="1"/>
    </xf>
    <xf numFmtId="0" fontId="8" fillId="0" borderId="0" xfId="0" applyFont="1" applyAlignment="1">
      <alignment wrapText="1"/>
    </xf>
    <xf numFmtId="0" fontId="0" fillId="0" borderId="0" xfId="0"/>
    <xf numFmtId="0" fontId="10" fillId="0" borderId="0" xfId="0" applyFont="1" applyAlignment="1" applyProtection="1">
      <alignment horizontal="left"/>
      <protection hidden="1"/>
    </xf>
    <xf numFmtId="0" fontId="4" fillId="0" borderId="0" xfId="0" applyFont="1" applyAlignment="1">
      <alignment horizontal="left"/>
    </xf>
    <xf numFmtId="0" fontId="8" fillId="0" borderId="28" xfId="0" applyFont="1" applyBorder="1" applyAlignment="1" applyProtection="1">
      <alignment horizontal="center"/>
      <protection hidden="1"/>
    </xf>
    <xf numFmtId="0" fontId="0" fillId="0" borderId="32" xfId="0" applyBorder="1" applyProtection="1">
      <protection hidden="1"/>
    </xf>
    <xf numFmtId="0" fontId="0" fillId="0" borderId="29" xfId="0" applyBorder="1" applyProtection="1">
      <protection hidden="1"/>
    </xf>
    <xf numFmtId="0" fontId="3" fillId="0" borderId="28" xfId="0" applyFont="1" applyBorder="1" applyAlignment="1">
      <alignment horizontal="center" vertical="center"/>
    </xf>
    <xf numFmtId="0" fontId="0" fillId="0" borderId="32" xfId="0" applyBorder="1"/>
    <xf numFmtId="0" fontId="0" fillId="0" borderId="29" xfId="0" applyBorder="1"/>
    <xf numFmtId="0" fontId="3" fillId="0" borderId="0" xfId="0" applyFont="1" applyAlignment="1" applyProtection="1">
      <alignment horizontal="center"/>
      <protection hidden="1"/>
    </xf>
    <xf numFmtId="0" fontId="24" fillId="0" borderId="39" xfId="0" applyFont="1" applyBorder="1" applyAlignment="1" applyProtection="1">
      <alignment horizontal="center" vertical="center" wrapText="1"/>
      <protection hidden="1"/>
    </xf>
    <xf numFmtId="0" fontId="0" fillId="0" borderId="1" xfId="0" applyBorder="1" applyProtection="1">
      <protection hidden="1"/>
    </xf>
    <xf numFmtId="0" fontId="0" fillId="0" borderId="58" xfId="0" applyBorder="1" applyProtection="1">
      <protection hidden="1"/>
    </xf>
    <xf numFmtId="0" fontId="14" fillId="0" borderId="52" xfId="0" applyFont="1" applyBorder="1" applyAlignment="1" applyProtection="1">
      <alignment horizontal="center" vertical="center" wrapText="1"/>
      <protection hidden="1"/>
    </xf>
    <xf numFmtId="0" fontId="0" fillId="0" borderId="17" xfId="0" applyBorder="1" applyProtection="1">
      <protection hidden="1"/>
    </xf>
    <xf numFmtId="0" fontId="0" fillId="0" borderId="68" xfId="0" applyBorder="1" applyProtection="1">
      <protection hidden="1"/>
    </xf>
    <xf numFmtId="0" fontId="14" fillId="0" borderId="39" xfId="0" applyFont="1" applyBorder="1" applyAlignment="1" applyProtection="1">
      <alignment horizontal="center" vertical="top" wrapText="1"/>
      <protection hidden="1"/>
    </xf>
    <xf numFmtId="3" fontId="3" fillId="0" borderId="0" xfId="4" applyFont="1" applyAlignment="1" applyProtection="1">
      <alignment horizontal="left" vertical="top" wrapText="1"/>
      <protection locked="0"/>
    </xf>
    <xf numFmtId="0" fontId="14" fillId="0" borderId="28" xfId="0" applyFont="1" applyBorder="1" applyAlignment="1" applyProtection="1">
      <alignment horizontal="center" textRotation="90" wrapText="1"/>
      <protection hidden="1"/>
    </xf>
    <xf numFmtId="0" fontId="0" fillId="0" borderId="53" xfId="0" applyBorder="1" applyProtection="1">
      <protection hidden="1"/>
    </xf>
    <xf numFmtId="0" fontId="0" fillId="0" borderId="27" xfId="0" applyBorder="1" applyProtection="1">
      <protection hidden="1"/>
    </xf>
    <xf numFmtId="0" fontId="14" fillId="0" borderId="51" xfId="0" applyFont="1" applyBorder="1" applyAlignment="1" applyProtection="1">
      <alignment horizontal="center" textRotation="90" wrapText="1"/>
      <protection hidden="1"/>
    </xf>
    <xf numFmtId="0" fontId="0" fillId="0" borderId="12" xfId="0" applyBorder="1" applyProtection="1">
      <protection hidden="1"/>
    </xf>
    <xf numFmtId="0" fontId="12" fillId="0" borderId="42" xfId="0" applyFont="1" applyBorder="1" applyAlignment="1" applyProtection="1">
      <alignment horizontal="center"/>
      <protection hidden="1"/>
    </xf>
    <xf numFmtId="0" fontId="12" fillId="0" borderId="28" xfId="0" applyFont="1" applyBorder="1" applyAlignment="1" applyProtection="1">
      <alignment horizontal="center" textRotation="90" wrapText="1"/>
      <protection hidden="1"/>
    </xf>
    <xf numFmtId="0" fontId="14" fillId="0" borderId="52" xfId="0" applyFont="1" applyBorder="1" applyAlignment="1" applyProtection="1">
      <alignment horizontal="center" vertical="top" wrapText="1"/>
      <protection hidden="1"/>
    </xf>
    <xf numFmtId="0" fontId="5" fillId="0" borderId="1" xfId="0" applyFont="1" applyBorder="1"/>
    <xf numFmtId="0" fontId="0" fillId="0" borderId="1" xfId="0" applyBorder="1"/>
    <xf numFmtId="0" fontId="12" fillId="0" borderId="0" xfId="0" applyFont="1" applyAlignment="1" applyProtection="1">
      <alignment horizontal="center" vertical="center" wrapText="1"/>
      <protection hidden="1"/>
    </xf>
    <xf numFmtId="0" fontId="12" fillId="0" borderId="21" xfId="0" applyFont="1" applyBorder="1" applyAlignment="1" applyProtection="1">
      <alignment horizontal="center" vertical="center" wrapText="1"/>
      <protection hidden="1"/>
    </xf>
    <xf numFmtId="0" fontId="0" fillId="0" borderId="69" xfId="0" applyBorder="1" applyProtection="1">
      <protection hidden="1"/>
    </xf>
    <xf numFmtId="0" fontId="0" fillId="0" borderId="70" xfId="0" applyBorder="1" applyProtection="1">
      <protection hidden="1"/>
    </xf>
    <xf numFmtId="0" fontId="12" fillId="0" borderId="50" xfId="0" applyFont="1" applyBorder="1" applyAlignment="1" applyProtection="1">
      <alignment horizontal="center" textRotation="90" wrapText="1"/>
      <protection hidden="1"/>
    </xf>
    <xf numFmtId="0" fontId="13" fillId="0" borderId="0" xfId="0" applyFont="1" applyAlignment="1">
      <alignment wrapText="1"/>
    </xf>
    <xf numFmtId="0" fontId="12" fillId="0" borderId="52" xfId="0" applyFont="1" applyBorder="1" applyAlignment="1" applyProtection="1">
      <alignment horizontal="center" vertical="top" wrapText="1"/>
      <protection hidden="1"/>
    </xf>
    <xf numFmtId="0" fontId="13" fillId="0" borderId="3" xfId="0" applyFont="1" applyBorder="1" applyAlignment="1" applyProtection="1">
      <alignment horizontal="left" vertical="center" wrapText="1"/>
      <protection hidden="1"/>
    </xf>
    <xf numFmtId="0" fontId="0" fillId="0" borderId="62" xfId="0" applyBorder="1" applyProtection="1">
      <protection hidden="1"/>
    </xf>
    <xf numFmtId="0" fontId="0" fillId="0" borderId="39" xfId="0" applyBorder="1" applyProtection="1">
      <protection hidden="1"/>
    </xf>
    <xf numFmtId="0" fontId="8" fillId="0" borderId="0" xfId="0" applyFont="1" applyAlignment="1" applyProtection="1">
      <alignment horizontal="center"/>
      <protection hidden="1"/>
    </xf>
    <xf numFmtId="0" fontId="13" fillId="0" borderId="22" xfId="0" applyFont="1" applyBorder="1" applyAlignment="1" applyProtection="1">
      <alignment horizontal="left" vertical="center" wrapText="1"/>
      <protection hidden="1"/>
    </xf>
    <xf numFmtId="0" fontId="0" fillId="0" borderId="63" xfId="0" applyBorder="1" applyProtection="1">
      <protection hidden="1"/>
    </xf>
    <xf numFmtId="0" fontId="14" fillId="0" borderId="20" xfId="0" applyFont="1" applyBorder="1" applyAlignment="1" applyProtection="1">
      <alignment horizontal="left" vertical="top" wrapText="1"/>
      <protection hidden="1"/>
    </xf>
    <xf numFmtId="0" fontId="10" fillId="0" borderId="0" xfId="0" applyFont="1" applyAlignment="1" applyProtection="1">
      <alignment horizontal="right"/>
      <protection hidden="1"/>
    </xf>
    <xf numFmtId="0" fontId="14" fillId="0" borderId="50" xfId="0" applyFont="1" applyBorder="1" applyAlignment="1" applyProtection="1">
      <alignment horizontal="center" textRotation="90" wrapText="1"/>
      <protection hidden="1"/>
    </xf>
    <xf numFmtId="3" fontId="3" fillId="0" borderId="1" xfId="4" applyFont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14" fillId="0" borderId="50" xfId="0" applyFont="1" applyBorder="1" applyAlignment="1" applyProtection="1">
      <alignment horizontal="left" vertical="top" wrapText="1"/>
      <protection hidden="1"/>
    </xf>
    <xf numFmtId="0" fontId="0" fillId="0" borderId="51" xfId="0" applyBorder="1" applyProtection="1">
      <protection hidden="1"/>
    </xf>
    <xf numFmtId="0" fontId="14" fillId="0" borderId="50" xfId="0" applyFont="1" applyBorder="1" applyAlignment="1" applyProtection="1">
      <alignment horizontal="center" vertical="top" wrapText="1"/>
      <protection hidden="1"/>
    </xf>
    <xf numFmtId="3" fontId="3" fillId="0" borderId="0" xfId="4" applyFont="1" applyAlignment="1" applyProtection="1">
      <alignment horizontal="center"/>
      <protection locked="0"/>
    </xf>
    <xf numFmtId="178" fontId="13" fillId="0" borderId="6" xfId="0" applyNumberFormat="1" applyFont="1" applyBorder="1" applyAlignment="1" applyProtection="1">
      <alignment horizontal="left" vertical="center"/>
      <protection hidden="1"/>
    </xf>
    <xf numFmtId="0" fontId="14" fillId="0" borderId="13" xfId="0" applyFont="1" applyBorder="1" applyAlignment="1" applyProtection="1">
      <alignment horizontal="center" vertical="top" wrapText="1"/>
      <protection hidden="1"/>
    </xf>
    <xf numFmtId="0" fontId="0" fillId="0" borderId="2" xfId="0" applyBorder="1" applyProtection="1">
      <protection hidden="1"/>
    </xf>
    <xf numFmtId="0" fontId="0" fillId="0" borderId="49" xfId="0" applyBorder="1" applyProtection="1">
      <protection hidden="1"/>
    </xf>
    <xf numFmtId="0" fontId="12" fillId="0" borderId="20" xfId="0" applyFont="1" applyBorder="1" applyAlignment="1" applyProtection="1">
      <alignment horizontal="center"/>
      <protection hidden="1"/>
    </xf>
    <xf numFmtId="0" fontId="13" fillId="0" borderId="6" xfId="0" applyFont="1" applyBorder="1" applyAlignment="1" applyProtection="1">
      <alignment horizontal="right" vertical="center" wrapText="1"/>
      <protection hidden="1"/>
    </xf>
    <xf numFmtId="178" fontId="13" fillId="0" borderId="25" xfId="0" applyNumberFormat="1" applyFont="1" applyBorder="1" applyAlignment="1" applyProtection="1">
      <alignment horizontal="left" vertical="center"/>
      <protection hidden="1"/>
    </xf>
    <xf numFmtId="0" fontId="12" fillId="0" borderId="50" xfId="0" applyFont="1" applyBorder="1" applyAlignment="1" applyProtection="1">
      <alignment horizontal="center"/>
      <protection hidden="1"/>
    </xf>
    <xf numFmtId="0" fontId="13" fillId="0" borderId="25" xfId="0" applyFont="1" applyBorder="1" applyAlignment="1" applyProtection="1">
      <alignment horizontal="right" vertical="center" wrapText="1"/>
      <protection hidden="1"/>
    </xf>
    <xf numFmtId="0" fontId="14" fillId="0" borderId="10" xfId="0" applyFont="1" applyBorder="1" applyAlignment="1" applyProtection="1">
      <alignment horizontal="center" vertical="top" wrapText="1"/>
      <protection hidden="1"/>
    </xf>
    <xf numFmtId="0" fontId="0" fillId="0" borderId="55" xfId="0" applyBorder="1" applyProtection="1">
      <protection hidden="1"/>
    </xf>
    <xf numFmtId="0" fontId="14" fillId="0" borderId="28" xfId="0" applyFont="1" applyBorder="1" applyAlignment="1" applyProtection="1">
      <alignment horizontal="right"/>
      <protection hidden="1"/>
    </xf>
    <xf numFmtId="0" fontId="14" fillId="0" borderId="5" xfId="0" applyFont="1" applyBorder="1" applyAlignment="1" applyProtection="1">
      <alignment horizontal="left" vertical="top" wrapText="1"/>
      <protection hidden="1"/>
    </xf>
    <xf numFmtId="0" fontId="13" fillId="0" borderId="60" xfId="0" applyFont="1" applyBorder="1" applyAlignment="1" applyProtection="1">
      <alignment horizontal="left" vertical="center" wrapText="1"/>
      <protection hidden="1"/>
    </xf>
    <xf numFmtId="0" fontId="0" fillId="0" borderId="59" xfId="0" applyBorder="1" applyProtection="1">
      <protection hidden="1"/>
    </xf>
    <xf numFmtId="0" fontId="0" fillId="0" borderId="25" xfId="0" applyBorder="1" applyProtection="1">
      <protection hidden="1"/>
    </xf>
    <xf numFmtId="0" fontId="13" fillId="0" borderId="0" xfId="0" applyFont="1" applyAlignment="1" applyProtection="1">
      <alignment wrapText="1"/>
      <protection hidden="1"/>
    </xf>
    <xf numFmtId="0" fontId="0" fillId="0" borderId="0" xfId="0" applyAlignment="1" applyProtection="1">
      <alignment horizontal="left"/>
      <protection hidden="1"/>
    </xf>
    <xf numFmtId="0" fontId="12" fillId="0" borderId="38" xfId="0" applyFont="1" applyBorder="1" applyAlignment="1" applyProtection="1">
      <alignment horizontal="center"/>
      <protection hidden="1"/>
    </xf>
    <xf numFmtId="0" fontId="0" fillId="0" borderId="38" xfId="0" applyBorder="1" applyProtection="1">
      <protection hidden="1"/>
    </xf>
    <xf numFmtId="0" fontId="14" fillId="0" borderId="0" xfId="0" applyFont="1" applyAlignment="1">
      <alignment horizontal="center" textRotation="90" wrapText="1"/>
    </xf>
    <xf numFmtId="0" fontId="10" fillId="0" borderId="0" xfId="0" applyFont="1" applyAlignment="1">
      <alignment horizontal="left"/>
    </xf>
    <xf numFmtId="0" fontId="12" fillId="0" borderId="0" xfId="0" applyFont="1" applyAlignment="1">
      <alignment horizontal="center" textRotation="90" wrapText="1"/>
    </xf>
    <xf numFmtId="0" fontId="0" fillId="0" borderId="43" xfId="0" applyBorder="1" applyAlignment="1">
      <alignment horizontal="center" vertical="center" wrapText="1"/>
    </xf>
    <xf numFmtId="0" fontId="0" fillId="0" borderId="63" xfId="0" applyBorder="1"/>
    <xf numFmtId="3" fontId="3" fillId="0" borderId="0" xfId="4" applyFont="1" applyAlignment="1" applyProtection="1">
      <alignment horizontal="center"/>
      <protection hidden="1"/>
    </xf>
    <xf numFmtId="0" fontId="8" fillId="0" borderId="28" xfId="0" applyFont="1" applyBorder="1" applyAlignment="1" applyProtection="1">
      <alignment horizontal="left"/>
      <protection hidden="1"/>
    </xf>
    <xf numFmtId="0" fontId="14" fillId="0" borderId="51" xfId="0" applyFont="1" applyBorder="1" applyAlignment="1" applyProtection="1">
      <alignment horizontal="right"/>
      <protection hidden="1"/>
    </xf>
    <xf numFmtId="3" fontId="3" fillId="0" borderId="1" xfId="4" applyFont="1" applyBorder="1" applyAlignment="1" applyProtection="1">
      <alignment horizontal="center"/>
      <protection hidden="1"/>
    </xf>
    <xf numFmtId="0" fontId="6" fillId="0" borderId="38" xfId="0" applyFont="1" applyBorder="1" applyAlignment="1" applyProtection="1">
      <alignment horizontal="left"/>
      <protection hidden="1"/>
    </xf>
    <xf numFmtId="0" fontId="19" fillId="0" borderId="38" xfId="0" applyFont="1" applyBorder="1" applyAlignment="1" applyProtection="1">
      <alignment horizontal="center"/>
      <protection hidden="1"/>
    </xf>
    <xf numFmtId="0" fontId="8" fillId="0" borderId="28" xfId="0" applyFont="1" applyBorder="1" applyAlignment="1">
      <alignment horizontal="left"/>
    </xf>
    <xf numFmtId="0" fontId="6" fillId="0" borderId="38" xfId="0" applyFont="1" applyBorder="1" applyAlignment="1">
      <alignment horizontal="left"/>
    </xf>
    <xf numFmtId="0" fontId="0" fillId="0" borderId="38" xfId="0" applyBorder="1"/>
    <xf numFmtId="0" fontId="14" fillId="0" borderId="44" xfId="0" applyFont="1" applyBorder="1" applyAlignment="1" applyProtection="1">
      <alignment horizontal="right"/>
      <protection hidden="1"/>
    </xf>
    <xf numFmtId="0" fontId="0" fillId="0" borderId="44" xfId="0" applyBorder="1" applyProtection="1">
      <protection hidden="1"/>
    </xf>
    <xf numFmtId="0" fontId="6" fillId="0" borderId="56" xfId="0" applyFont="1" applyBorder="1" applyAlignment="1">
      <alignment horizontal="left"/>
    </xf>
    <xf numFmtId="0" fontId="3" fillId="0" borderId="0" xfId="0" applyFont="1" applyAlignment="1" applyProtection="1">
      <alignment horizontal="left"/>
      <protection hidden="1"/>
    </xf>
    <xf numFmtId="0" fontId="14" fillId="0" borderId="12" xfId="0" applyFont="1" applyBorder="1" applyAlignment="1">
      <alignment horizontal="right"/>
    </xf>
    <xf numFmtId="0" fontId="0" fillId="0" borderId="12" xfId="0" applyBorder="1"/>
    <xf numFmtId="0" fontId="14" fillId="0" borderId="0" xfId="0" applyFont="1" applyAlignment="1" applyProtection="1">
      <alignment horizontal="center" textRotation="90" wrapText="1"/>
      <protection locked="0"/>
    </xf>
    <xf numFmtId="0" fontId="8" fillId="0" borderId="38" xfId="0" applyFont="1" applyBorder="1" applyAlignment="1" applyProtection="1">
      <alignment horizontal="center"/>
      <protection hidden="1"/>
    </xf>
    <xf numFmtId="0" fontId="14" fillId="0" borderId="17" xfId="0" applyFont="1" applyBorder="1" applyAlignment="1" applyProtection="1">
      <alignment horizontal="right"/>
      <protection hidden="1"/>
    </xf>
    <xf numFmtId="3" fontId="2" fillId="0" borderId="0" xfId="3" applyFont="1" applyAlignment="1" applyProtection="1">
      <alignment horizontal="left" wrapText="1"/>
      <protection hidden="1"/>
    </xf>
    <xf numFmtId="0" fontId="14" fillId="0" borderId="17" xfId="0" applyFont="1" applyBorder="1" applyAlignment="1" applyProtection="1">
      <alignment horizontal="left" vertical="center"/>
      <protection hidden="1"/>
    </xf>
    <xf numFmtId="0" fontId="18" fillId="0" borderId="28" xfId="0" applyFont="1" applyBorder="1" applyAlignment="1" applyProtection="1">
      <alignment horizontal="left" vertical="top" wrapText="1" indent="1"/>
      <protection hidden="1"/>
    </xf>
  </cellXfs>
  <cellStyles count="11">
    <cellStyle name="Standard" xfId="0" builtinId="0"/>
    <cellStyle name="Standard 2" xfId="10" xr:uid="{00000000-0005-0000-0000-00000A000000}"/>
    <cellStyle name="Standard_ Neubau Zirk" xfId="1" xr:uid="{00000000-0005-0000-0000-000001000000}"/>
    <cellStyle name="Standard_Jungvieh" xfId="2" xr:uid="{00000000-0005-0000-0000-000002000000}"/>
    <cellStyle name="Standard_Neubau Slalom" xfId="3" xr:uid="{00000000-0005-0000-0000-000003000000}"/>
    <cellStyle name="Standard_Planbefestigt" xfId="4" xr:uid="{00000000-0005-0000-0000-000004000000}"/>
    <cellStyle name="Standard_Tabelle2" xfId="5" xr:uid="{00000000-0005-0000-0000-000005000000}"/>
    <cellStyle name="Standard_Um-Anbau" xfId="6" xr:uid="{00000000-0005-0000-0000-000006000000}"/>
    <cellStyle name="Währung_Neubau Slalom" xfId="7" xr:uid="{00000000-0005-0000-0000-000007000000}"/>
    <cellStyle name="Währung_Planbefestigt" xfId="8" xr:uid="{00000000-0005-0000-0000-000008000000}"/>
    <cellStyle name="Währung_Tabelle2" xfId="9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2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nienhaus.usr\beratung\rindvieh\Vortrag%20Riswick2000\Baukostenvergleich%20Milchvieh200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kumente%20und%20Einstellungen\jnienhaus\Lokale%20Einstellungen\Temporary%20Internet%20Files\OLKBC\Lagerraum-Berechnung_2010-02-2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iagramm1"/>
      <sheetName val="Flächendia"/>
      <sheetName val="Übersichtstabelle"/>
      <sheetName val="Grundlagen 1"/>
      <sheetName val="Grundlagen 2"/>
      <sheetName val="Einheitspreise"/>
      <sheetName val="3+0 100 Mk"/>
      <sheetName val="3+0_100MK plan"/>
      <sheetName val="4+0 100Mk"/>
      <sheetName val="4+0 100Mk plan"/>
      <sheetName val="3+3_125MK"/>
      <sheetName val="3+3_125MK plan"/>
      <sheetName val="3+3_200MK spar"/>
      <sheetName val="3+3_200MK spar plan"/>
      <sheetName val="3+3_200MK"/>
      <sheetName val="3+3_200MKplan"/>
      <sheetName val="3+3_400MK  plan"/>
      <sheetName val="Kostengruppen Dia"/>
      <sheetName val="Kostengruppen"/>
      <sheetName val="Dia 3+0  unt Kreis"/>
      <sheetName val="Dia 3+0 plan Kreis"/>
      <sheetName val="Tabelle Einzelstall"/>
      <sheetName val="Tabelle4"/>
      <sheetName val="Tabelle5"/>
      <sheetName val="Tabelle6"/>
      <sheetName val="Tabelle7"/>
      <sheetName val="Tabelle8"/>
      <sheetName val="Tabelle9"/>
      <sheetName val="Tabelle10"/>
      <sheetName val="Tabelle11"/>
      <sheetName val="Tabelle12"/>
      <sheetName val="Tabelle13"/>
      <sheetName val="Tabelle14"/>
      <sheetName val="Tabelle15"/>
      <sheetName val="Tabelle16"/>
      <sheetName val="3+3_400MK "/>
    </sheetNames>
    <sheetDataSet>
      <sheetData sheetId="0" refreshError="1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/>
      <sheetData sheetId="19" refreshError="1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ckblatt"/>
      <sheetName val="Lagerraum-Betrieb"/>
      <sheetName val="Güllelager-Quervergleich"/>
      <sheetName val="Jahresniederschlag"/>
      <sheetName val="Datenblatt"/>
      <sheetName val="Überschriften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74"/>
  <sheetViews>
    <sheetView showGridLines="0" showZeros="0" tabSelected="1" zoomScaleNormal="100" zoomScaleSheetLayoutView="100" zoomScalePageLayoutView="93" workbookViewId="0">
      <selection activeCell="F18" sqref="F18"/>
    </sheetView>
  </sheetViews>
  <sheetFormatPr baseColWidth="10" defaultColWidth="11.42578125" defaultRowHeight="12.75" x14ac:dyDescent="0.2"/>
  <cols>
    <col min="1" max="1" width="2.85546875" style="453" customWidth="1"/>
    <col min="2" max="2" width="41.42578125" style="453" customWidth="1"/>
    <col min="3" max="3" width="15.7109375" style="453" customWidth="1"/>
    <col min="4" max="4" width="3" style="453" bestFit="1" customWidth="1"/>
    <col min="5" max="5" width="4.42578125" style="453" bestFit="1" customWidth="1"/>
    <col min="6" max="6" width="4.28515625" style="453" customWidth="1"/>
    <col min="7" max="7" width="29.5703125" style="453" customWidth="1"/>
    <col min="8" max="8" width="8.42578125" style="453" customWidth="1"/>
    <col min="9" max="9" width="4.85546875" style="453" customWidth="1"/>
    <col min="10" max="10" width="3.5703125" style="453" customWidth="1"/>
    <col min="11" max="11" width="3.85546875" style="453" customWidth="1"/>
    <col min="12" max="12" width="5.28515625" style="453" customWidth="1"/>
    <col min="13" max="13" width="4.5703125" style="453" customWidth="1"/>
    <col min="14" max="14" width="4" style="453" bestFit="1" customWidth="1"/>
    <col min="15" max="15" width="4.85546875" style="453" bestFit="1" customWidth="1"/>
    <col min="16" max="16" width="4.7109375" style="453" customWidth="1"/>
    <col min="17" max="17" width="5.140625" style="453" customWidth="1"/>
    <col min="18" max="18" width="4" style="453" bestFit="1" customWidth="1"/>
    <col min="19" max="19" width="3.85546875" style="453" customWidth="1"/>
    <col min="20" max="21" width="4" style="453" bestFit="1" customWidth="1"/>
    <col min="22" max="22" width="5.5703125" style="453" customWidth="1"/>
    <col min="23" max="23" width="4.140625" style="453" customWidth="1"/>
    <col min="24" max="24" width="11.42578125" style="453" customWidth="1"/>
    <col min="25" max="25" width="12" style="453" customWidth="1"/>
    <col min="26" max="26" width="11.42578125" style="453" customWidth="1"/>
    <col min="27" max="16384" width="11.42578125" style="453"/>
  </cols>
  <sheetData>
    <row r="1" spans="1:25" ht="18" customHeight="1" x14ac:dyDescent="0.25">
      <c r="B1" s="452"/>
      <c r="C1" s="452"/>
      <c r="D1" s="452"/>
      <c r="E1" s="452"/>
      <c r="F1" s="530"/>
      <c r="G1" s="531"/>
      <c r="H1" s="531"/>
      <c r="I1" s="531"/>
      <c r="J1" s="531"/>
      <c r="K1" s="531"/>
      <c r="L1" s="531"/>
      <c r="M1" s="531"/>
      <c r="N1" s="531"/>
      <c r="O1" s="531"/>
      <c r="P1" s="531"/>
      <c r="Q1" s="531"/>
    </row>
    <row r="2" spans="1:25" ht="20.25" x14ac:dyDescent="0.3">
      <c r="B2" s="577" t="s">
        <v>893</v>
      </c>
      <c r="C2" s="578"/>
      <c r="D2" s="578"/>
      <c r="E2" s="578"/>
      <c r="F2" s="578"/>
      <c r="G2" s="578"/>
      <c r="H2" s="578"/>
      <c r="I2" s="578"/>
      <c r="J2" s="578"/>
      <c r="K2" s="578"/>
      <c r="L2" s="579"/>
      <c r="M2" s="532"/>
      <c r="N2" s="532"/>
      <c r="O2" s="532"/>
      <c r="P2" s="532"/>
      <c r="Q2" s="532"/>
      <c r="R2" s="454"/>
      <c r="S2" s="454"/>
      <c r="T2" s="454"/>
      <c r="U2" s="454"/>
      <c r="V2" s="454"/>
      <c r="W2" s="454"/>
      <c r="X2" s="454"/>
      <c r="Y2" s="454"/>
    </row>
    <row r="3" spans="1:25" ht="2.25" customHeight="1" x14ac:dyDescent="0.2">
      <c r="B3" s="124"/>
      <c r="C3" s="124"/>
      <c r="D3" s="124"/>
      <c r="E3" s="124"/>
      <c r="F3" s="125"/>
      <c r="G3" s="125"/>
      <c r="H3" s="125"/>
      <c r="I3" s="125"/>
      <c r="J3" s="125"/>
      <c r="K3" s="125"/>
      <c r="L3" s="125"/>
      <c r="M3" s="125"/>
      <c r="N3" s="125"/>
      <c r="Q3" s="125"/>
      <c r="R3" s="125"/>
      <c r="S3" s="125"/>
    </row>
    <row r="4" spans="1:25" ht="2.25" customHeight="1" x14ac:dyDescent="0.2">
      <c r="B4" s="120"/>
      <c r="C4" s="120"/>
      <c r="D4" s="120"/>
      <c r="E4" s="120"/>
    </row>
    <row r="5" spans="1:25" ht="15.75" customHeight="1" x14ac:dyDescent="0.25">
      <c r="B5" s="476" t="s">
        <v>888</v>
      </c>
      <c r="C5" s="81"/>
      <c r="D5" s="81"/>
      <c r="E5" s="81"/>
      <c r="F5" s="81"/>
      <c r="G5" s="81"/>
      <c r="H5" s="81"/>
      <c r="I5" s="81"/>
      <c r="J5" s="81"/>
      <c r="K5" s="81"/>
      <c r="L5" s="81"/>
      <c r="M5" s="81"/>
      <c r="N5" s="81"/>
      <c r="O5" s="81"/>
      <c r="P5" s="81"/>
      <c r="Q5" s="81"/>
      <c r="R5" s="81"/>
      <c r="S5" s="81"/>
      <c r="T5" s="81"/>
      <c r="U5" s="81"/>
      <c r="V5" s="81"/>
      <c r="W5" s="81"/>
      <c r="X5" s="81"/>
    </row>
    <row r="6" spans="1:25" ht="16.5" customHeight="1" x14ac:dyDescent="0.25">
      <c r="B6" s="476" t="s">
        <v>0</v>
      </c>
      <c r="C6" s="81"/>
      <c r="D6" s="81"/>
      <c r="E6" s="81"/>
      <c r="F6" s="81"/>
      <c r="G6" s="395" t="s">
        <v>6</v>
      </c>
      <c r="H6" s="81"/>
      <c r="I6" s="81"/>
      <c r="J6" s="81"/>
      <c r="K6" s="81"/>
      <c r="L6" s="81"/>
      <c r="M6" s="81"/>
      <c r="N6" s="81"/>
      <c r="O6" s="81"/>
      <c r="P6" s="81"/>
      <c r="Q6" s="81"/>
      <c r="R6" s="81"/>
      <c r="S6" s="81"/>
      <c r="T6" s="81"/>
      <c r="U6" s="81"/>
      <c r="V6" s="81"/>
      <c r="W6" s="81"/>
      <c r="X6" s="81"/>
    </row>
    <row r="7" spans="1:25" ht="15.6" customHeight="1" x14ac:dyDescent="0.25">
      <c r="B7" s="563" t="s">
        <v>889</v>
      </c>
      <c r="C7" s="564"/>
      <c r="D7" s="565"/>
      <c r="E7" s="533" t="str">
        <f>IF(H7="x"," ","x")</f>
        <v>x</v>
      </c>
      <c r="F7" s="81"/>
      <c r="G7" s="81"/>
      <c r="H7" s="81"/>
      <c r="I7" s="81"/>
      <c r="J7" s="81"/>
      <c r="K7" s="81"/>
      <c r="L7" s="81"/>
      <c r="M7" s="81"/>
      <c r="N7" s="81"/>
      <c r="O7" s="81"/>
      <c r="P7" s="81"/>
      <c r="Q7" s="81"/>
      <c r="R7" s="81"/>
      <c r="S7" s="81"/>
      <c r="T7" s="81"/>
      <c r="U7" s="81"/>
      <c r="V7" s="81"/>
      <c r="W7" s="81"/>
      <c r="X7" s="81"/>
    </row>
    <row r="8" spans="1:25" ht="10.5" customHeight="1" x14ac:dyDescent="0.2">
      <c r="A8" s="396"/>
      <c r="B8" s="569"/>
      <c r="C8" s="570"/>
      <c r="D8" s="570"/>
      <c r="E8" s="570"/>
      <c r="F8" s="570"/>
      <c r="G8" s="570"/>
      <c r="H8" s="570"/>
      <c r="I8" s="570"/>
      <c r="J8" s="570"/>
      <c r="K8" s="570"/>
      <c r="L8" s="570"/>
      <c r="M8" s="471"/>
      <c r="N8" s="471"/>
      <c r="O8" s="471"/>
      <c r="P8" s="471"/>
      <c r="Q8" s="471"/>
      <c r="R8" s="471"/>
      <c r="S8" s="576"/>
      <c r="T8" s="559"/>
      <c r="U8" s="559"/>
      <c r="V8" s="126"/>
      <c r="W8" s="126"/>
    </row>
    <row r="9" spans="1:25" ht="24.95" customHeight="1" x14ac:dyDescent="0.25">
      <c r="A9" s="396"/>
      <c r="B9" s="566" t="s">
        <v>892</v>
      </c>
      <c r="C9" s="567"/>
      <c r="D9" s="567"/>
      <c r="E9" s="567"/>
      <c r="F9" s="567"/>
      <c r="G9" s="567"/>
      <c r="H9" s="567"/>
      <c r="I9" s="567"/>
      <c r="J9" s="567"/>
      <c r="K9" s="567"/>
      <c r="L9" s="568"/>
      <c r="M9" s="471"/>
      <c r="N9" s="471"/>
      <c r="O9" s="471"/>
      <c r="P9" s="471"/>
      <c r="Q9" s="471"/>
      <c r="R9" s="471"/>
      <c r="S9" s="560"/>
      <c r="T9" s="560"/>
      <c r="U9" s="560"/>
      <c r="V9" s="126"/>
      <c r="W9" s="126"/>
    </row>
    <row r="10" spans="1:25" ht="15.75" customHeight="1" x14ac:dyDescent="0.2">
      <c r="C10" s="55"/>
    </row>
    <row r="11" spans="1:25" ht="19.7" customHeight="1" x14ac:dyDescent="0.2">
      <c r="B11" s="69" t="s">
        <v>891</v>
      </c>
      <c r="C11" s="553">
        <v>12</v>
      </c>
      <c r="D11" s="571" t="s">
        <v>3</v>
      </c>
      <c r="E11" s="564"/>
      <c r="F11" s="565"/>
      <c r="G11" s="82" t="s">
        <v>4</v>
      </c>
      <c r="H11" s="330">
        <v>700</v>
      </c>
      <c r="I11" s="484" t="s">
        <v>5</v>
      </c>
      <c r="S11" s="521"/>
      <c r="T11" s="521"/>
      <c r="U11" s="521"/>
      <c r="V11" s="521"/>
    </row>
    <row r="12" spans="1:25" ht="19.7" customHeight="1" x14ac:dyDescent="0.2">
      <c r="B12" s="519"/>
      <c r="C12" s="520"/>
      <c r="D12" s="574"/>
      <c r="E12" s="575"/>
      <c r="F12" s="575"/>
      <c r="G12" s="485">
        <f>C11</f>
        <v>12</v>
      </c>
      <c r="H12" s="394">
        <f>H11*0.7/12*C11</f>
        <v>489.99999999999994</v>
      </c>
      <c r="I12" s="484" t="s">
        <v>7</v>
      </c>
      <c r="O12" s="55"/>
    </row>
    <row r="13" spans="1:25" ht="19.7" customHeight="1" x14ac:dyDescent="0.2">
      <c r="C13" s="55"/>
    </row>
    <row r="14" spans="1:25" ht="19.7" customHeight="1" x14ac:dyDescent="0.2">
      <c r="B14" s="69" t="s">
        <v>8</v>
      </c>
      <c r="C14" s="176" t="s">
        <v>9</v>
      </c>
      <c r="D14" s="83"/>
      <c r="F14" s="84"/>
      <c r="G14" s="522"/>
      <c r="H14" s="523"/>
      <c r="I14" s="484"/>
      <c r="J14" s="84"/>
      <c r="K14" s="84"/>
      <c r="L14" s="85"/>
      <c r="M14" s="85"/>
      <c r="N14" s="85"/>
      <c r="O14" s="85"/>
      <c r="P14" s="355"/>
      <c r="Q14" s="85"/>
      <c r="R14" s="85"/>
      <c r="S14" s="85"/>
      <c r="T14" s="85"/>
      <c r="U14" s="355"/>
      <c r="V14" s="98"/>
      <c r="W14" s="98"/>
      <c r="X14" s="98"/>
      <c r="Y14" s="98"/>
    </row>
    <row r="15" spans="1:25" ht="19.7" customHeight="1" x14ac:dyDescent="0.2">
      <c r="B15" s="26" t="s">
        <v>10</v>
      </c>
      <c r="C15" s="539">
        <f>IF(E7="x",'Rindvieh nach DüVO'!R25,'Rindvieh nach VLK'!R25)</f>
        <v>0</v>
      </c>
      <c r="D15" s="83"/>
      <c r="F15" s="83"/>
      <c r="G15" s="524"/>
      <c r="H15" s="525"/>
      <c r="L15" s="85"/>
      <c r="M15" s="85"/>
      <c r="N15" s="85"/>
      <c r="O15" s="85"/>
      <c r="P15" s="99"/>
      <c r="Q15" s="85"/>
      <c r="R15" s="85"/>
      <c r="S15" s="85"/>
      <c r="T15" s="85"/>
      <c r="U15" s="99"/>
      <c r="V15" s="98"/>
      <c r="W15" s="98"/>
      <c r="X15" s="98"/>
      <c r="Y15" s="98"/>
    </row>
    <row r="16" spans="1:25" ht="19.7" customHeight="1" x14ac:dyDescent="0.2">
      <c r="B16" s="70" t="s">
        <v>11</v>
      </c>
      <c r="C16" s="540">
        <f>Schweine!S21</f>
        <v>0</v>
      </c>
      <c r="D16" s="111"/>
      <c r="F16" s="111"/>
      <c r="G16" s="526"/>
      <c r="H16" s="525"/>
      <c r="J16" s="111"/>
      <c r="K16" s="111"/>
      <c r="L16" s="86"/>
      <c r="M16" s="86"/>
      <c r="N16" s="86"/>
      <c r="O16" s="86"/>
      <c r="P16" s="116"/>
      <c r="Q16" s="86"/>
      <c r="R16" s="86"/>
      <c r="S16" s="86"/>
      <c r="T16" s="86"/>
      <c r="U16" s="116"/>
    </row>
    <row r="17" spans="2:21" ht="19.7" customHeight="1" x14ac:dyDescent="0.2">
      <c r="B17" s="70" t="s">
        <v>12</v>
      </c>
      <c r="C17" s="541"/>
      <c r="D17" s="111"/>
      <c r="F17" s="111"/>
      <c r="G17" s="526"/>
      <c r="H17" s="525"/>
      <c r="J17" s="111"/>
      <c r="K17" s="111"/>
      <c r="L17" s="86"/>
      <c r="M17" s="86"/>
      <c r="N17" s="86"/>
      <c r="O17" s="86"/>
      <c r="P17" s="116"/>
      <c r="Q17" s="86"/>
      <c r="R17" s="86"/>
      <c r="S17" s="86"/>
      <c r="T17" s="86"/>
      <c r="U17" s="116"/>
    </row>
    <row r="18" spans="2:21" ht="19.7" customHeight="1" x14ac:dyDescent="0.2">
      <c r="B18" s="70" t="s">
        <v>13</v>
      </c>
      <c r="C18" s="540">
        <f>'Sonstige Abwässer'!E16</f>
        <v>0</v>
      </c>
      <c r="D18" s="111"/>
      <c r="F18" s="111"/>
      <c r="G18" s="526"/>
      <c r="H18" s="525"/>
      <c r="J18" s="111"/>
      <c r="K18" s="111"/>
      <c r="L18" s="86"/>
      <c r="M18" s="86"/>
      <c r="N18" s="86"/>
      <c r="O18" s="86"/>
      <c r="P18" s="116"/>
      <c r="Q18" s="86"/>
      <c r="R18" s="86"/>
      <c r="S18" s="86"/>
      <c r="T18" s="86"/>
      <c r="U18" s="116"/>
    </row>
    <row r="19" spans="2:21" ht="19.7" customHeight="1" thickBot="1" x14ac:dyDescent="0.25">
      <c r="B19" s="71" t="s">
        <v>14</v>
      </c>
      <c r="C19" s="542">
        <f>Festmistlager!I18+Festmistlager!I29</f>
        <v>0</v>
      </c>
      <c r="D19" s="111"/>
      <c r="F19" s="112"/>
      <c r="G19" s="526"/>
      <c r="H19" s="525"/>
      <c r="J19" s="111"/>
      <c r="K19" s="111"/>
      <c r="L19" s="86"/>
      <c r="M19" s="86"/>
      <c r="N19" s="86"/>
      <c r="O19" s="86"/>
      <c r="P19" s="116"/>
      <c r="Q19" s="86"/>
      <c r="R19" s="86"/>
      <c r="S19" s="86"/>
      <c r="T19" s="86"/>
      <c r="U19" s="116"/>
    </row>
    <row r="20" spans="2:21" ht="19.7" customHeight="1" thickBot="1" x14ac:dyDescent="0.3">
      <c r="B20" s="538" t="s">
        <v>890</v>
      </c>
      <c r="C20" s="543">
        <f>SUM(C15:C19)</f>
        <v>0</v>
      </c>
      <c r="D20" s="111"/>
      <c r="E20" s="111"/>
      <c r="F20" s="112"/>
      <c r="G20" s="88"/>
      <c r="H20" s="89"/>
      <c r="J20" s="112"/>
      <c r="K20" s="112"/>
      <c r="L20" s="87"/>
      <c r="M20" s="87"/>
      <c r="N20" s="87"/>
      <c r="O20" s="87"/>
      <c r="P20" s="114"/>
      <c r="Q20" s="87"/>
      <c r="R20" s="87"/>
      <c r="S20" s="87"/>
      <c r="T20" s="87"/>
      <c r="U20" s="114"/>
    </row>
    <row r="21" spans="2:21" ht="19.7" customHeight="1" x14ac:dyDescent="0.2">
      <c r="D21" s="111"/>
      <c r="E21" s="111"/>
      <c r="F21" s="112"/>
      <c r="G21" s="88"/>
      <c r="H21" s="89"/>
      <c r="J21" s="112"/>
      <c r="K21" s="112"/>
      <c r="L21" s="87"/>
      <c r="M21" s="87"/>
      <c r="N21" s="87"/>
      <c r="O21" s="87"/>
      <c r="P21" s="114"/>
      <c r="Q21" s="87"/>
      <c r="R21" s="87"/>
      <c r="S21" s="87"/>
      <c r="T21" s="87"/>
      <c r="U21" s="114"/>
    </row>
    <row r="22" spans="2:21" s="517" customFormat="1" ht="36.950000000000003" customHeight="1" x14ac:dyDescent="0.2">
      <c r="B22" s="580" t="s">
        <v>896</v>
      </c>
      <c r="C22" s="581"/>
      <c r="D22" s="581"/>
      <c r="E22" s="581"/>
      <c r="F22" s="581"/>
      <c r="G22" s="581"/>
      <c r="H22" s="581"/>
      <c r="I22" s="581"/>
      <c r="J22" s="581"/>
      <c r="K22" s="581"/>
      <c r="L22" s="582"/>
      <c r="M22" s="87"/>
      <c r="N22" s="87"/>
      <c r="O22" s="87"/>
      <c r="P22" s="114"/>
      <c r="Q22" s="87"/>
      <c r="R22" s="87"/>
      <c r="S22" s="87"/>
      <c r="T22" s="87"/>
      <c r="U22" s="114"/>
    </row>
    <row r="23" spans="2:21" s="517" customFormat="1" ht="19.7" customHeight="1" x14ac:dyDescent="0.25">
      <c r="B23" s="548"/>
      <c r="C23" s="572">
        <f>+C20*50</f>
        <v>0</v>
      </c>
      <c r="D23" s="572"/>
      <c r="E23" s="572"/>
      <c r="F23" s="572"/>
      <c r="G23" s="549"/>
      <c r="H23" s="550"/>
      <c r="I23" s="518"/>
      <c r="J23" s="551"/>
      <c r="K23" s="551"/>
      <c r="L23" s="552"/>
      <c r="M23" s="87"/>
      <c r="N23" s="87"/>
      <c r="O23" s="87"/>
      <c r="P23" s="114"/>
      <c r="Q23" s="87"/>
      <c r="R23" s="87"/>
      <c r="S23" s="87"/>
      <c r="T23" s="87"/>
      <c r="U23" s="114"/>
    </row>
    <row r="24" spans="2:21" ht="30" customHeight="1" x14ac:dyDescent="0.2">
      <c r="B24" s="561" t="s">
        <v>15</v>
      </c>
      <c r="C24" s="562"/>
      <c r="D24" s="111"/>
      <c r="E24" s="111"/>
      <c r="F24" s="112"/>
      <c r="G24" s="88"/>
      <c r="H24" s="89"/>
      <c r="J24" s="112"/>
      <c r="K24" s="112"/>
      <c r="L24" s="87"/>
      <c r="M24" s="87"/>
      <c r="N24" s="87"/>
      <c r="O24" s="87"/>
      <c r="P24" s="114"/>
      <c r="Q24" s="459"/>
      <c r="R24" s="459"/>
      <c r="S24" s="459"/>
      <c r="T24" s="87"/>
      <c r="U24" s="114"/>
    </row>
    <row r="25" spans="2:21" ht="27.75" customHeight="1" x14ac:dyDescent="0.2">
      <c r="B25" s="573"/>
      <c r="C25" s="573"/>
      <c r="D25" s="573"/>
      <c r="E25" s="573"/>
      <c r="F25" s="573"/>
      <c r="G25" s="573"/>
      <c r="H25" s="573"/>
      <c r="I25" s="573"/>
      <c r="J25" s="573"/>
      <c r="K25" s="573"/>
      <c r="L25" s="573"/>
      <c r="M25" s="88"/>
      <c r="N25" s="87"/>
      <c r="O25" s="87"/>
      <c r="P25" s="114"/>
      <c r="Q25" s="459"/>
      <c r="R25" s="459"/>
      <c r="S25" s="459"/>
      <c r="T25" s="87"/>
      <c r="U25" s="114"/>
    </row>
    <row r="26" spans="2:21" ht="27.75" customHeight="1" x14ac:dyDescent="0.2">
      <c r="B26" s="573"/>
      <c r="C26" s="573"/>
      <c r="D26" s="573"/>
      <c r="E26" s="573"/>
      <c r="F26" s="573"/>
      <c r="G26" s="573"/>
      <c r="H26" s="573"/>
      <c r="I26" s="573"/>
      <c r="J26" s="573"/>
      <c r="K26" s="573"/>
      <c r="L26" s="573"/>
      <c r="M26" s="88"/>
      <c r="N26" s="87"/>
      <c r="O26" s="87"/>
      <c r="P26" s="114"/>
      <c r="Q26" s="459"/>
      <c r="R26" s="459"/>
      <c r="S26" s="459"/>
      <c r="T26" s="87"/>
      <c r="U26" s="114"/>
    </row>
    <row r="27" spans="2:21" ht="31.5" customHeight="1" x14ac:dyDescent="0.2">
      <c r="B27" s="573"/>
      <c r="C27" s="573"/>
      <c r="D27" s="573"/>
      <c r="E27" s="573"/>
      <c r="F27" s="573"/>
      <c r="G27" s="573"/>
      <c r="H27" s="573"/>
      <c r="I27" s="573"/>
      <c r="J27" s="573"/>
      <c r="K27" s="573"/>
      <c r="L27" s="573"/>
      <c r="M27" s="88"/>
      <c r="N27" s="87"/>
      <c r="O27" s="87"/>
      <c r="P27" s="114"/>
      <c r="Q27" s="459"/>
      <c r="R27" s="459"/>
      <c r="S27" s="459"/>
      <c r="T27" s="87"/>
      <c r="U27" s="114"/>
    </row>
    <row r="28" spans="2:21" ht="42.75" customHeight="1" x14ac:dyDescent="0.2">
      <c r="B28" s="527"/>
      <c r="C28" s="528"/>
      <c r="D28" s="111"/>
      <c r="E28" s="111"/>
      <c r="F28" s="112"/>
      <c r="G28" s="88"/>
      <c r="H28" s="89"/>
      <c r="J28" s="112"/>
      <c r="K28" s="112"/>
      <c r="L28" s="87"/>
      <c r="M28" s="87"/>
      <c r="N28" s="87"/>
      <c r="O28" s="87"/>
      <c r="P28" s="114"/>
      <c r="Q28" s="459"/>
      <c r="R28" s="459"/>
      <c r="S28" s="459"/>
      <c r="T28" s="87"/>
      <c r="U28" s="114"/>
    </row>
    <row r="29" spans="2:21" ht="33.75" customHeight="1" x14ac:dyDescent="0.2">
      <c r="B29" s="527"/>
      <c r="C29" s="529"/>
      <c r="D29" s="111"/>
      <c r="E29" s="111"/>
      <c r="F29" s="112"/>
      <c r="G29" s="88"/>
      <c r="H29" s="89"/>
      <c r="J29" s="112"/>
      <c r="K29" s="112"/>
      <c r="L29" s="87"/>
      <c r="M29" s="87"/>
      <c r="N29" s="87"/>
      <c r="O29" s="87"/>
      <c r="P29" s="114"/>
      <c r="Q29" s="459"/>
      <c r="R29" s="459"/>
      <c r="S29" s="459"/>
      <c r="T29" s="87"/>
      <c r="U29" s="114"/>
    </row>
    <row r="30" spans="2:21" ht="31.5" customHeight="1" x14ac:dyDescent="0.2">
      <c r="D30" s="111"/>
      <c r="E30" s="111"/>
      <c r="F30" s="112"/>
      <c r="G30" s="90"/>
      <c r="H30" s="486"/>
      <c r="I30" s="112"/>
      <c r="J30" s="112"/>
      <c r="K30" s="112"/>
      <c r="L30" s="87"/>
      <c r="M30" s="87"/>
      <c r="N30" s="87"/>
      <c r="O30" s="87"/>
      <c r="P30" s="114"/>
      <c r="Q30" s="87"/>
      <c r="R30" s="87"/>
      <c r="S30" s="87"/>
      <c r="T30" s="87"/>
      <c r="U30" s="114"/>
    </row>
    <row r="31" spans="2:21" ht="19.7" customHeight="1" x14ac:dyDescent="0.2">
      <c r="B31" s="111"/>
      <c r="C31" s="111"/>
      <c r="D31" s="111"/>
      <c r="E31" s="111"/>
      <c r="F31" s="112"/>
      <c r="G31" s="557"/>
      <c r="H31" s="558"/>
      <c r="I31" s="558"/>
      <c r="M31" s="87"/>
      <c r="N31" s="87"/>
      <c r="O31" s="87"/>
      <c r="P31" s="114"/>
      <c r="Q31" s="87"/>
      <c r="R31" s="87"/>
      <c r="S31" s="87"/>
      <c r="T31" s="87"/>
      <c r="U31" s="114"/>
    </row>
    <row r="32" spans="2:21" ht="19.7" customHeight="1" x14ac:dyDescent="0.2">
      <c r="B32" s="111"/>
      <c r="C32" s="111"/>
      <c r="D32" s="111"/>
      <c r="E32" s="111"/>
      <c r="F32" s="112"/>
      <c r="G32" s="354" t="s">
        <v>16</v>
      </c>
      <c r="H32" s="90"/>
      <c r="I32" s="90"/>
      <c r="M32" s="87"/>
      <c r="N32" s="87"/>
      <c r="O32" s="87"/>
      <c r="P32" s="114"/>
      <c r="Q32" s="87"/>
      <c r="R32" s="87"/>
      <c r="S32" s="87"/>
      <c r="T32" s="87"/>
      <c r="U32" s="114"/>
    </row>
    <row r="33" spans="2:21" x14ac:dyDescent="0.2">
      <c r="B33" s="111"/>
      <c r="C33" s="111"/>
      <c r="D33" s="111"/>
      <c r="E33" s="111"/>
      <c r="F33" s="112"/>
      <c r="G33" s="354"/>
      <c r="H33" s="90"/>
      <c r="I33" s="90"/>
      <c r="M33" s="87"/>
      <c r="N33" s="87"/>
      <c r="O33" s="87"/>
      <c r="P33" s="114"/>
      <c r="Q33" s="87"/>
      <c r="R33" s="87"/>
      <c r="S33" s="87"/>
      <c r="T33" s="87"/>
      <c r="U33" s="114"/>
    </row>
    <row r="34" spans="2:21" ht="21" customHeight="1" x14ac:dyDescent="0.2">
      <c r="B34" s="111"/>
      <c r="C34" s="111"/>
      <c r="D34" s="111"/>
      <c r="E34" s="111"/>
      <c r="F34" s="112"/>
      <c r="G34" s="112"/>
      <c r="H34" s="112"/>
      <c r="I34" s="112"/>
      <c r="J34" s="112"/>
      <c r="K34" s="112"/>
      <c r="L34" s="87"/>
      <c r="M34" s="87"/>
      <c r="N34" s="87"/>
      <c r="O34" s="87"/>
      <c r="P34" s="114"/>
      <c r="Q34" s="87"/>
      <c r="R34" s="87"/>
      <c r="S34" s="87"/>
      <c r="T34" s="87"/>
      <c r="U34" s="114"/>
    </row>
    <row r="35" spans="2:21" x14ac:dyDescent="0.2">
      <c r="B35" s="111"/>
      <c r="C35" s="111"/>
      <c r="D35" s="111"/>
      <c r="E35" s="111"/>
      <c r="F35" s="112"/>
      <c r="G35" s="112"/>
      <c r="H35" s="112"/>
      <c r="I35" s="112"/>
      <c r="J35" s="112"/>
      <c r="K35" s="112"/>
      <c r="L35" s="87"/>
      <c r="M35" s="87"/>
      <c r="N35" s="87"/>
      <c r="O35" s="87"/>
      <c r="P35" s="114"/>
      <c r="Q35" s="87"/>
      <c r="R35" s="87"/>
      <c r="S35" s="87"/>
      <c r="T35" s="87"/>
      <c r="U35" s="114"/>
    </row>
    <row r="36" spans="2:21" x14ac:dyDescent="0.2">
      <c r="B36" s="111"/>
      <c r="C36" s="111"/>
      <c r="D36" s="111"/>
      <c r="E36" s="111"/>
      <c r="F36" s="112"/>
      <c r="G36" s="112"/>
      <c r="H36" s="112"/>
      <c r="I36" s="112"/>
      <c r="J36" s="112"/>
      <c r="K36" s="112"/>
      <c r="L36" s="87"/>
      <c r="M36" s="87"/>
      <c r="N36" s="87"/>
      <c r="O36" s="87"/>
      <c r="P36" s="114"/>
      <c r="Q36" s="87"/>
      <c r="R36" s="87"/>
      <c r="S36" s="87"/>
      <c r="T36" s="87"/>
      <c r="U36" s="114"/>
    </row>
    <row r="37" spans="2:21" x14ac:dyDescent="0.2">
      <c r="B37" s="111"/>
      <c r="C37" s="111"/>
      <c r="D37" s="111"/>
      <c r="E37" s="111"/>
      <c r="F37" s="112"/>
      <c r="G37" s="112"/>
      <c r="H37" s="112"/>
      <c r="I37" s="112"/>
      <c r="J37" s="112"/>
      <c r="K37" s="112"/>
      <c r="L37" s="87"/>
      <c r="M37" s="87"/>
      <c r="N37" s="87"/>
      <c r="O37" s="87"/>
      <c r="P37" s="114"/>
      <c r="Q37" s="87"/>
      <c r="R37" s="87"/>
      <c r="S37" s="87"/>
      <c r="T37" s="87"/>
      <c r="U37" s="114"/>
    </row>
    <row r="38" spans="2:21" x14ac:dyDescent="0.2">
      <c r="B38" s="111"/>
      <c r="C38" s="111"/>
      <c r="D38" s="111"/>
      <c r="E38" s="111"/>
      <c r="F38" s="112"/>
      <c r="G38" s="112"/>
      <c r="H38" s="112"/>
      <c r="I38" s="112"/>
      <c r="J38" s="112"/>
      <c r="K38" s="112"/>
      <c r="L38" s="87"/>
      <c r="M38" s="87"/>
      <c r="N38" s="87"/>
      <c r="O38" s="87"/>
      <c r="P38" s="114"/>
      <c r="Q38" s="87"/>
      <c r="R38" s="87"/>
      <c r="S38" s="87"/>
      <c r="T38" s="87"/>
      <c r="U38" s="114"/>
    </row>
    <row r="39" spans="2:21" x14ac:dyDescent="0.2">
      <c r="B39" s="111"/>
      <c r="C39" s="111"/>
      <c r="D39" s="111"/>
      <c r="E39" s="111"/>
      <c r="F39" s="112"/>
      <c r="G39" s="112"/>
      <c r="H39" s="112"/>
      <c r="I39" s="112"/>
      <c r="J39" s="112"/>
      <c r="K39" s="112"/>
      <c r="L39" s="87"/>
      <c r="M39" s="87"/>
      <c r="N39" s="87"/>
      <c r="O39" s="87"/>
      <c r="P39" s="114"/>
      <c r="Q39" s="87"/>
      <c r="R39" s="87"/>
      <c r="S39" s="87"/>
      <c r="T39" s="87"/>
      <c r="U39" s="114"/>
    </row>
    <row r="40" spans="2:21" x14ac:dyDescent="0.2">
      <c r="B40" s="111"/>
      <c r="C40" s="111"/>
      <c r="D40" s="111"/>
      <c r="E40" s="111"/>
      <c r="F40" s="112"/>
      <c r="G40" s="112"/>
      <c r="H40" s="112"/>
      <c r="I40" s="112"/>
      <c r="J40" s="112"/>
      <c r="K40" s="112"/>
      <c r="L40" s="87"/>
      <c r="M40" s="87"/>
      <c r="N40" s="87"/>
      <c r="O40" s="87"/>
      <c r="P40" s="114"/>
      <c r="Q40" s="87"/>
      <c r="R40" s="87"/>
      <c r="S40" s="87"/>
      <c r="T40" s="87"/>
      <c r="U40" s="114"/>
    </row>
    <row r="41" spans="2:21" x14ac:dyDescent="0.2">
      <c r="B41" s="111"/>
      <c r="C41" s="111"/>
      <c r="D41" s="111"/>
      <c r="E41" s="111"/>
      <c r="F41" s="112"/>
      <c r="G41" s="112"/>
      <c r="H41" s="112"/>
      <c r="I41" s="112"/>
      <c r="J41" s="112"/>
      <c r="K41" s="112"/>
      <c r="L41" s="87"/>
      <c r="M41" s="87"/>
      <c r="N41" s="87"/>
      <c r="O41" s="87"/>
      <c r="P41" s="114"/>
      <c r="Q41" s="87"/>
      <c r="R41" s="87"/>
      <c r="S41" s="87"/>
      <c r="T41" s="87"/>
      <c r="U41" s="114"/>
    </row>
    <row r="42" spans="2:21" x14ac:dyDescent="0.2">
      <c r="B42" s="112"/>
      <c r="C42" s="112"/>
      <c r="D42" s="111"/>
      <c r="E42" s="111"/>
      <c r="F42" s="112"/>
      <c r="G42" s="112"/>
      <c r="H42" s="112"/>
      <c r="I42" s="112"/>
      <c r="J42" s="112"/>
      <c r="K42" s="112"/>
      <c r="L42" s="87"/>
      <c r="M42" s="87"/>
      <c r="N42" s="87"/>
      <c r="O42" s="87"/>
      <c r="P42" s="114"/>
      <c r="Q42" s="87"/>
      <c r="R42" s="87"/>
      <c r="S42" s="87"/>
      <c r="T42" s="87"/>
      <c r="U42" s="114"/>
    </row>
    <row r="43" spans="2:21" x14ac:dyDescent="0.2">
      <c r="B43" s="112"/>
      <c r="C43" s="112"/>
      <c r="D43" s="111"/>
      <c r="E43" s="111"/>
      <c r="F43" s="111"/>
      <c r="G43" s="112"/>
      <c r="H43" s="112"/>
      <c r="I43" s="112"/>
      <c r="J43" s="111"/>
      <c r="K43" s="111"/>
      <c r="L43" s="87"/>
      <c r="M43" s="87"/>
      <c r="N43" s="87"/>
      <c r="O43" s="87"/>
      <c r="P43" s="114"/>
      <c r="Q43" s="87"/>
      <c r="R43" s="87"/>
      <c r="S43" s="87"/>
      <c r="T43" s="87"/>
      <c r="U43" s="114"/>
    </row>
    <row r="44" spans="2:21" x14ac:dyDescent="0.2">
      <c r="B44" s="111"/>
      <c r="C44" s="111"/>
      <c r="D44" s="112"/>
      <c r="E44" s="112"/>
      <c r="F44" s="112"/>
      <c r="G44" s="112"/>
      <c r="H44" s="112"/>
      <c r="I44" s="112"/>
      <c r="J44" s="112"/>
      <c r="K44" s="112"/>
      <c r="L44" s="87"/>
      <c r="M44" s="87"/>
      <c r="N44" s="87"/>
      <c r="O44" s="87"/>
      <c r="P44" s="114"/>
      <c r="Q44" s="87"/>
      <c r="R44" s="87"/>
      <c r="S44" s="87"/>
      <c r="T44" s="87"/>
      <c r="U44" s="114"/>
    </row>
    <row r="45" spans="2:21" x14ac:dyDescent="0.2">
      <c r="B45" s="111"/>
      <c r="C45" s="111"/>
      <c r="D45" s="112"/>
      <c r="E45" s="112"/>
      <c r="F45" s="102"/>
      <c r="G45" s="112"/>
      <c r="H45" s="112"/>
      <c r="I45" s="112"/>
      <c r="J45" s="102"/>
      <c r="K45" s="102"/>
      <c r="L45" s="87"/>
      <c r="M45" s="87"/>
      <c r="N45" s="87"/>
      <c r="O45" s="87"/>
      <c r="P45" s="114"/>
      <c r="Q45" s="87"/>
      <c r="R45" s="87"/>
      <c r="S45" s="87"/>
      <c r="T45" s="87"/>
      <c r="U45" s="114"/>
    </row>
    <row r="46" spans="2:21" x14ac:dyDescent="0.2">
      <c r="B46" s="111"/>
      <c r="C46" s="111"/>
      <c r="D46" s="111"/>
      <c r="E46" s="111"/>
      <c r="F46" s="112"/>
      <c r="G46" s="112"/>
      <c r="H46" s="112"/>
      <c r="I46" s="112"/>
      <c r="J46" s="112"/>
      <c r="K46" s="112"/>
      <c r="L46" s="103"/>
      <c r="M46" s="103"/>
      <c r="N46" s="103"/>
      <c r="O46" s="103"/>
      <c r="P46" s="114"/>
      <c r="Q46" s="103"/>
      <c r="R46" s="103"/>
      <c r="S46" s="103"/>
      <c r="T46" s="103"/>
      <c r="U46" s="114"/>
    </row>
    <row r="47" spans="2:21" x14ac:dyDescent="0.2">
      <c r="B47" s="111"/>
      <c r="C47" s="111"/>
      <c r="D47" s="111"/>
      <c r="E47" s="111"/>
      <c r="F47" s="111"/>
      <c r="G47" s="111"/>
      <c r="H47" s="111"/>
      <c r="I47" s="112"/>
      <c r="J47" s="111"/>
      <c r="K47" s="111"/>
      <c r="L47" s="104"/>
      <c r="M47" s="104"/>
      <c r="N47" s="104"/>
      <c r="O47" s="104"/>
      <c r="P47" s="114"/>
      <c r="Q47" s="104"/>
      <c r="R47" s="104"/>
      <c r="S47" s="104"/>
      <c r="T47" s="104"/>
      <c r="U47" s="114"/>
    </row>
    <row r="48" spans="2:21" x14ac:dyDescent="0.2">
      <c r="B48" s="105"/>
      <c r="C48" s="105"/>
      <c r="D48" s="111"/>
      <c r="E48" s="111"/>
      <c r="F48" s="111"/>
      <c r="G48" s="112"/>
      <c r="H48" s="112"/>
      <c r="I48" s="111"/>
      <c r="J48" s="111"/>
      <c r="K48" s="111"/>
      <c r="L48" s="87"/>
      <c r="M48" s="87"/>
      <c r="N48" s="87"/>
      <c r="O48" s="87"/>
      <c r="P48" s="114"/>
      <c r="Q48" s="87"/>
      <c r="R48" s="87"/>
      <c r="S48" s="87"/>
      <c r="T48" s="87"/>
      <c r="U48" s="114"/>
    </row>
    <row r="49" spans="2:21" x14ac:dyDescent="0.2">
      <c r="B49" s="111"/>
      <c r="C49" s="111"/>
      <c r="D49" s="111"/>
      <c r="E49" s="111"/>
      <c r="F49" s="105"/>
      <c r="G49" s="102"/>
      <c r="H49" s="102"/>
      <c r="I49" s="112"/>
      <c r="J49" s="105"/>
      <c r="K49" s="105"/>
      <c r="L49" s="106"/>
      <c r="M49" s="106"/>
      <c r="N49" s="106"/>
      <c r="O49" s="106"/>
      <c r="P49" s="114"/>
      <c r="Q49" s="106"/>
      <c r="R49" s="106"/>
      <c r="S49" s="106"/>
      <c r="T49" s="106"/>
      <c r="U49" s="114"/>
    </row>
    <row r="50" spans="2:21" x14ac:dyDescent="0.2">
      <c r="B50" s="111"/>
      <c r="C50" s="111"/>
      <c r="D50" s="105"/>
      <c r="E50" s="105"/>
      <c r="G50" s="112"/>
      <c r="H50" s="112"/>
      <c r="I50" s="102"/>
      <c r="L50" s="107"/>
      <c r="M50" s="107"/>
      <c r="N50" s="107"/>
      <c r="O50" s="107"/>
      <c r="P50" s="114"/>
      <c r="Q50" s="107"/>
      <c r="R50" s="107"/>
      <c r="S50" s="107"/>
      <c r="T50" s="107"/>
      <c r="U50" s="114"/>
    </row>
    <row r="51" spans="2:21" x14ac:dyDescent="0.2">
      <c r="B51" s="111"/>
      <c r="C51" s="111"/>
      <c r="D51" s="111"/>
      <c r="E51" s="111"/>
      <c r="F51" s="112"/>
      <c r="G51" s="111"/>
      <c r="H51" s="111"/>
      <c r="I51" s="112"/>
      <c r="J51" s="112"/>
      <c r="K51" s="112"/>
      <c r="L51" s="87"/>
      <c r="M51" s="87"/>
      <c r="N51" s="87"/>
      <c r="O51" s="87"/>
      <c r="P51" s="114"/>
      <c r="Q51" s="87"/>
      <c r="R51" s="87"/>
      <c r="S51" s="87"/>
      <c r="T51" s="87"/>
      <c r="U51" s="114"/>
    </row>
    <row r="52" spans="2:21" x14ac:dyDescent="0.2">
      <c r="B52" s="111"/>
      <c r="C52" s="111"/>
      <c r="D52" s="111"/>
      <c r="E52" s="111"/>
      <c r="F52" s="111"/>
      <c r="G52" s="111"/>
      <c r="H52" s="111"/>
      <c r="I52" s="111"/>
      <c r="J52" s="111"/>
      <c r="K52" s="111"/>
      <c r="L52" s="109"/>
      <c r="M52" s="109"/>
      <c r="N52" s="109"/>
      <c r="O52" s="109"/>
      <c r="P52" s="114"/>
      <c r="Q52" s="109"/>
      <c r="R52" s="109"/>
      <c r="S52" s="109"/>
      <c r="T52" s="109"/>
      <c r="U52" s="114"/>
    </row>
    <row r="53" spans="2:21" x14ac:dyDescent="0.2">
      <c r="B53" s="111"/>
      <c r="C53" s="111"/>
      <c r="D53" s="111"/>
      <c r="E53" s="111"/>
      <c r="F53" s="112"/>
      <c r="G53" s="105"/>
      <c r="H53" s="105"/>
      <c r="I53" s="111"/>
      <c r="J53" s="112"/>
      <c r="K53" s="112"/>
      <c r="L53" s="113"/>
      <c r="M53" s="113"/>
      <c r="N53" s="113"/>
      <c r="O53" s="113"/>
      <c r="P53" s="114"/>
      <c r="Q53" s="113"/>
      <c r="R53" s="113"/>
      <c r="S53" s="113"/>
      <c r="T53" s="113"/>
      <c r="U53" s="114"/>
    </row>
    <row r="54" spans="2:21" x14ac:dyDescent="0.2">
      <c r="B54" s="111"/>
      <c r="C54" s="111"/>
      <c r="D54" s="111"/>
      <c r="E54" s="111"/>
      <c r="F54" s="112"/>
      <c r="I54" s="105"/>
      <c r="J54" s="112"/>
      <c r="K54" s="112"/>
      <c r="L54" s="113"/>
      <c r="M54" s="113"/>
      <c r="N54" s="113"/>
      <c r="O54" s="113"/>
      <c r="P54" s="114"/>
      <c r="Q54" s="113"/>
      <c r="R54" s="113"/>
      <c r="S54" s="113"/>
      <c r="T54" s="113"/>
      <c r="U54" s="114"/>
    </row>
    <row r="55" spans="2:21" x14ac:dyDescent="0.2">
      <c r="B55" s="111"/>
      <c r="C55" s="111"/>
      <c r="D55" s="111"/>
      <c r="E55" s="111"/>
      <c r="F55" s="112"/>
      <c r="G55" s="112"/>
      <c r="H55" s="112"/>
      <c r="J55" s="112"/>
      <c r="K55" s="112"/>
      <c r="L55" s="113"/>
      <c r="M55" s="113"/>
      <c r="N55" s="113"/>
      <c r="O55" s="113"/>
      <c r="P55" s="114"/>
      <c r="Q55" s="113"/>
      <c r="R55" s="113"/>
      <c r="S55" s="113"/>
      <c r="T55" s="113"/>
      <c r="U55" s="114"/>
    </row>
    <row r="56" spans="2:21" x14ac:dyDescent="0.2">
      <c r="B56" s="111"/>
      <c r="C56" s="111"/>
      <c r="D56" s="111"/>
      <c r="E56" s="111"/>
      <c r="F56" s="112"/>
      <c r="G56" s="111"/>
      <c r="H56" s="111"/>
      <c r="I56" s="112"/>
      <c r="J56" s="112"/>
      <c r="K56" s="112"/>
      <c r="L56" s="113"/>
      <c r="M56" s="113"/>
      <c r="N56" s="113"/>
      <c r="O56" s="113"/>
      <c r="P56" s="114"/>
      <c r="Q56" s="113"/>
      <c r="R56" s="113"/>
      <c r="S56" s="113"/>
      <c r="T56" s="113"/>
      <c r="U56" s="114"/>
    </row>
    <row r="57" spans="2:21" x14ac:dyDescent="0.2">
      <c r="B57" s="111"/>
      <c r="C57" s="111"/>
      <c r="D57" s="111"/>
      <c r="E57" s="111"/>
      <c r="F57" s="112"/>
      <c r="G57" s="112"/>
      <c r="H57" s="112"/>
      <c r="I57" s="111"/>
      <c r="J57" s="112"/>
      <c r="K57" s="112"/>
      <c r="L57" s="113"/>
      <c r="M57" s="113"/>
      <c r="N57" s="113"/>
      <c r="O57" s="113"/>
      <c r="P57" s="127"/>
      <c r="Q57" s="113"/>
      <c r="R57" s="113"/>
      <c r="S57" s="113"/>
      <c r="T57" s="113"/>
      <c r="U57" s="127"/>
    </row>
    <row r="58" spans="2:21" x14ac:dyDescent="0.2">
      <c r="B58" s="117"/>
      <c r="C58" s="117"/>
      <c r="D58" s="111"/>
      <c r="E58" s="111"/>
      <c r="F58" s="112"/>
      <c r="G58" s="112"/>
      <c r="H58" s="112"/>
      <c r="I58" s="112"/>
      <c r="J58" s="112"/>
      <c r="K58" s="112"/>
      <c r="L58" s="113"/>
      <c r="M58" s="113"/>
      <c r="N58" s="113"/>
      <c r="O58" s="113"/>
      <c r="P58" s="127"/>
      <c r="Q58" s="113"/>
      <c r="R58" s="113"/>
      <c r="S58" s="113"/>
      <c r="T58" s="113"/>
      <c r="U58" s="127"/>
    </row>
    <row r="59" spans="2:21" x14ac:dyDescent="0.2">
      <c r="B59" s="116"/>
      <c r="C59" s="116"/>
      <c r="D59" s="111"/>
      <c r="E59" s="111"/>
      <c r="F59" s="112"/>
      <c r="G59" s="112"/>
      <c r="H59" s="112"/>
      <c r="I59" s="112"/>
      <c r="J59" s="112"/>
      <c r="K59" s="112"/>
      <c r="L59" s="113"/>
      <c r="M59" s="113"/>
      <c r="N59" s="113"/>
      <c r="O59" s="113"/>
      <c r="P59" s="128"/>
      <c r="Q59" s="113"/>
      <c r="R59" s="113"/>
      <c r="S59" s="113"/>
      <c r="T59" s="113"/>
      <c r="U59" s="128"/>
    </row>
    <row r="60" spans="2:21" x14ac:dyDescent="0.2">
      <c r="B60" s="116"/>
      <c r="C60" s="116"/>
      <c r="D60" s="117"/>
      <c r="E60" s="117"/>
      <c r="F60" s="118"/>
      <c r="G60" s="112"/>
      <c r="H60" s="112"/>
      <c r="I60" s="112"/>
      <c r="J60" s="118"/>
      <c r="K60" s="118"/>
      <c r="L60" s="116"/>
      <c r="M60" s="116"/>
      <c r="N60" s="116"/>
      <c r="O60" s="116"/>
      <c r="P60" s="116"/>
      <c r="Q60" s="116"/>
      <c r="R60" s="116"/>
      <c r="S60" s="116"/>
      <c r="T60" s="116"/>
      <c r="U60" s="116"/>
    </row>
    <row r="61" spans="2:21" x14ac:dyDescent="0.2">
      <c r="B61" s="116"/>
      <c r="C61" s="116"/>
      <c r="D61" s="116"/>
      <c r="E61" s="116"/>
      <c r="F61" s="116"/>
      <c r="G61" s="112"/>
      <c r="H61" s="112"/>
      <c r="I61" s="112"/>
      <c r="J61" s="116"/>
      <c r="K61" s="116"/>
      <c r="L61" s="116"/>
      <c r="M61" s="116"/>
      <c r="N61" s="116"/>
      <c r="O61" s="116"/>
      <c r="P61" s="116"/>
      <c r="Q61" s="116"/>
      <c r="R61" s="116"/>
      <c r="S61" s="116"/>
      <c r="T61" s="116"/>
      <c r="U61" s="116"/>
    </row>
    <row r="62" spans="2:21" x14ac:dyDescent="0.2">
      <c r="B62" s="116"/>
      <c r="C62" s="116"/>
      <c r="D62" s="116"/>
      <c r="E62" s="116"/>
      <c r="F62" s="116"/>
      <c r="G62" s="112"/>
      <c r="H62" s="112"/>
      <c r="I62" s="112"/>
      <c r="J62" s="116"/>
      <c r="K62" s="116"/>
      <c r="L62" s="116"/>
      <c r="M62" s="116"/>
      <c r="N62" s="116"/>
      <c r="O62" s="116"/>
      <c r="P62" s="116"/>
      <c r="Q62" s="116"/>
      <c r="R62" s="116"/>
      <c r="S62" s="116"/>
      <c r="T62" s="116"/>
      <c r="U62" s="116"/>
    </row>
    <row r="63" spans="2:21" x14ac:dyDescent="0.2">
      <c r="B63" s="116"/>
      <c r="C63" s="116"/>
      <c r="D63" s="116"/>
      <c r="E63" s="116"/>
      <c r="F63" s="116"/>
      <c r="G63" s="112"/>
      <c r="H63" s="112"/>
      <c r="I63" s="112"/>
      <c r="J63" s="116"/>
      <c r="K63" s="116"/>
      <c r="L63" s="116"/>
      <c r="M63" s="116"/>
      <c r="N63" s="116"/>
      <c r="O63" s="116"/>
      <c r="P63" s="116"/>
      <c r="Q63" s="116"/>
      <c r="R63" s="116"/>
      <c r="S63" s="116"/>
      <c r="T63" s="116"/>
      <c r="U63" s="116"/>
    </row>
    <row r="64" spans="2:21" x14ac:dyDescent="0.2">
      <c r="B64" s="116"/>
      <c r="C64" s="116"/>
      <c r="D64" s="116"/>
      <c r="E64" s="116"/>
      <c r="F64" s="116"/>
      <c r="G64" s="118"/>
      <c r="H64" s="118"/>
      <c r="I64" s="112"/>
      <c r="J64" s="116"/>
      <c r="K64" s="116"/>
      <c r="L64" s="116"/>
      <c r="M64" s="116"/>
      <c r="N64" s="116"/>
      <c r="O64" s="116"/>
      <c r="P64" s="116"/>
      <c r="Q64" s="116"/>
      <c r="R64" s="116"/>
      <c r="S64" s="116"/>
      <c r="T64" s="116"/>
      <c r="U64" s="116"/>
    </row>
    <row r="65" spans="2:21" x14ac:dyDescent="0.2">
      <c r="B65" s="120"/>
      <c r="C65" s="120"/>
      <c r="D65" s="116"/>
      <c r="E65" s="116"/>
      <c r="F65" s="116"/>
      <c r="G65" s="116"/>
      <c r="H65" s="116"/>
      <c r="I65" s="118"/>
      <c r="J65" s="116"/>
      <c r="K65" s="116"/>
      <c r="L65" s="116"/>
      <c r="M65" s="116"/>
      <c r="N65" s="116"/>
      <c r="O65" s="116"/>
      <c r="P65" s="116"/>
      <c r="Q65" s="116"/>
      <c r="R65" s="116"/>
      <c r="S65" s="116"/>
      <c r="T65" s="116"/>
      <c r="U65" s="116"/>
    </row>
    <row r="66" spans="2:21" x14ac:dyDescent="0.2">
      <c r="B66" s="120"/>
      <c r="C66" s="120"/>
      <c r="D66" s="116"/>
      <c r="E66" s="116"/>
      <c r="F66" s="116"/>
      <c r="G66" s="116"/>
      <c r="H66" s="116"/>
      <c r="I66" s="116"/>
      <c r="J66" s="116"/>
      <c r="K66" s="116"/>
      <c r="L66" s="116"/>
      <c r="M66" s="116"/>
      <c r="N66" s="116"/>
      <c r="O66" s="116"/>
      <c r="P66" s="116"/>
      <c r="Q66" s="116"/>
      <c r="R66" s="116"/>
      <c r="S66" s="116"/>
      <c r="T66" s="116"/>
      <c r="U66" s="116"/>
    </row>
    <row r="67" spans="2:21" x14ac:dyDescent="0.2">
      <c r="B67" s="120"/>
      <c r="C67" s="120"/>
      <c r="D67" s="120"/>
      <c r="E67" s="120"/>
      <c r="F67" s="122"/>
      <c r="G67" s="116"/>
      <c r="H67" s="116"/>
      <c r="I67" s="116"/>
      <c r="J67" s="122"/>
      <c r="K67" s="122"/>
      <c r="L67" s="123"/>
      <c r="M67" s="123"/>
      <c r="N67" s="123"/>
      <c r="O67" s="123"/>
      <c r="P67" s="123"/>
      <c r="Q67" s="123"/>
      <c r="R67" s="123"/>
      <c r="S67" s="123"/>
      <c r="T67" s="123"/>
      <c r="U67" s="123"/>
    </row>
    <row r="68" spans="2:21" x14ac:dyDescent="0.2">
      <c r="D68" s="120"/>
      <c r="E68" s="120"/>
      <c r="F68" s="122"/>
      <c r="G68" s="116"/>
      <c r="H68" s="116"/>
      <c r="I68" s="116"/>
      <c r="J68" s="122"/>
      <c r="K68" s="122"/>
      <c r="L68" s="123"/>
      <c r="M68" s="123"/>
      <c r="N68" s="123"/>
      <c r="O68" s="123"/>
      <c r="P68" s="123"/>
      <c r="Q68" s="123"/>
      <c r="R68" s="123"/>
      <c r="S68" s="123"/>
      <c r="T68" s="123"/>
      <c r="U68" s="123"/>
    </row>
    <row r="69" spans="2:21" x14ac:dyDescent="0.2">
      <c r="D69" s="120"/>
      <c r="E69" s="120"/>
      <c r="F69" s="122"/>
      <c r="G69" s="116"/>
      <c r="H69" s="116"/>
      <c r="I69" s="116"/>
      <c r="J69" s="122"/>
      <c r="K69" s="122"/>
      <c r="L69" s="123"/>
      <c r="M69" s="123"/>
      <c r="N69" s="123"/>
      <c r="O69" s="123"/>
      <c r="P69" s="123"/>
      <c r="Q69" s="123"/>
      <c r="R69" s="123"/>
      <c r="S69" s="123"/>
      <c r="T69" s="123"/>
      <c r="U69" s="123"/>
    </row>
    <row r="70" spans="2:21" x14ac:dyDescent="0.2">
      <c r="G70" s="116"/>
      <c r="H70" s="116"/>
      <c r="I70" s="116"/>
    </row>
    <row r="71" spans="2:21" x14ac:dyDescent="0.2">
      <c r="G71" s="122"/>
      <c r="H71" s="122"/>
      <c r="I71" s="116"/>
    </row>
    <row r="72" spans="2:21" x14ac:dyDescent="0.2">
      <c r="G72" s="122"/>
      <c r="H72" s="122"/>
      <c r="I72" s="122"/>
    </row>
    <row r="73" spans="2:21" x14ac:dyDescent="0.2">
      <c r="G73" s="122"/>
      <c r="H73" s="122"/>
      <c r="I73" s="122"/>
    </row>
    <row r="74" spans="2:21" x14ac:dyDescent="0.2">
      <c r="I74" s="122"/>
    </row>
  </sheetData>
  <sheetProtection algorithmName="SHA-512" hashValue="PgOn/mDpFvApWnQW4ZopCV4BUhLoOF+jPVMYc9X12fO/HBUNDEjXULBXVHnAiDbkxDWmQZ2i+fUMY5uZvmfDFA==" saltValue="PeOD6fluqgzbulAr9exxJw==" spinCount="100000" sheet="1" objects="1" scenarios="1"/>
  <mergeCells count="14">
    <mergeCell ref="U8:U9"/>
    <mergeCell ref="D12:F12"/>
    <mergeCell ref="S8:S9"/>
    <mergeCell ref="B2:L2"/>
    <mergeCell ref="B22:L22"/>
    <mergeCell ref="G31:I31"/>
    <mergeCell ref="T8:T9"/>
    <mergeCell ref="B24:C24"/>
    <mergeCell ref="B7:D7"/>
    <mergeCell ref="B9:L9"/>
    <mergeCell ref="B8:L8"/>
    <mergeCell ref="D11:F11"/>
    <mergeCell ref="C23:F23"/>
    <mergeCell ref="B25:L27"/>
  </mergeCells>
  <printOptions horizontalCentered="1"/>
  <pageMargins left="0.19685039370078741" right="0.27559055118110237" top="0.59055118110236227" bottom="0.35433070866141736" header="0.19685039370078741" footer="0"/>
  <pageSetup paperSize="9" scale="77" orientation="landscape" r:id="rId1"/>
  <headerFooter alignWithMargins="0">
    <oddHeader>&amp;C&amp;P</oddHeader>
    <oddFooter>&amp;R&amp;F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C105"/>
  <sheetViews>
    <sheetView showGridLines="0" showRowColHeaders="0" showZeros="0" view="pageLayout" topLeftCell="A22" zoomScaleNormal="100" zoomScaleSheetLayoutView="80" workbookViewId="0">
      <selection activeCell="M24" sqref="M24:M25"/>
    </sheetView>
  </sheetViews>
  <sheetFormatPr baseColWidth="10" defaultRowHeight="12.75" x14ac:dyDescent="0.2"/>
  <cols>
    <col min="1" max="1" width="6.5703125" style="473" customWidth="1"/>
    <col min="2" max="2" width="27.28515625" style="473" customWidth="1"/>
    <col min="3" max="3" width="8.85546875" style="473" bestFit="1" customWidth="1"/>
    <col min="4" max="4" width="9" style="473" bestFit="1" customWidth="1"/>
    <col min="5" max="5" width="8.85546875" style="473" bestFit="1" customWidth="1"/>
    <col min="6" max="6" width="9.28515625" style="473" customWidth="1"/>
    <col min="7" max="7" width="7.7109375" style="473" customWidth="1"/>
    <col min="8" max="8" width="8.42578125" style="473" customWidth="1"/>
    <col min="9" max="9" width="13.42578125" style="473" customWidth="1"/>
    <col min="10" max="10" width="17.7109375" style="473" customWidth="1"/>
    <col min="11" max="11" width="13" style="473" customWidth="1"/>
    <col min="12" max="12" width="13.28515625" style="473" customWidth="1"/>
    <col min="13" max="13" width="13.85546875" style="473" customWidth="1"/>
    <col min="14" max="14" width="7.85546875" style="473" customWidth="1"/>
    <col min="15" max="15" width="7" style="473" customWidth="1"/>
    <col min="16" max="16" width="5.140625" style="473" customWidth="1"/>
    <col min="17" max="17" width="4" style="473" bestFit="1" customWidth="1"/>
    <col min="18" max="18" width="3.85546875" style="473" customWidth="1"/>
    <col min="19" max="20" width="4" style="473" bestFit="1" customWidth="1"/>
    <col min="21" max="21" width="5.5703125" style="473" customWidth="1"/>
    <col min="22" max="22" width="4.140625" style="473" customWidth="1"/>
    <col min="24" max="24" width="12" style="473" customWidth="1"/>
  </cols>
  <sheetData>
    <row r="1" spans="1:29" ht="18" customHeight="1" x14ac:dyDescent="0.25">
      <c r="A1" s="660"/>
      <c r="B1" s="560"/>
      <c r="C1" s="474"/>
      <c r="D1" s="452"/>
      <c r="E1" s="452"/>
      <c r="F1" s="452"/>
      <c r="G1" s="452"/>
      <c r="H1" s="452"/>
      <c r="I1" s="452"/>
      <c r="J1" s="452"/>
      <c r="K1" s="452"/>
      <c r="L1" s="452"/>
      <c r="M1" s="452"/>
      <c r="O1" s="453"/>
      <c r="P1" s="453"/>
      <c r="Q1" s="453"/>
      <c r="R1" s="453"/>
      <c r="S1" s="453"/>
      <c r="T1" s="453"/>
      <c r="U1" s="453"/>
      <c r="V1" s="453"/>
      <c r="W1" s="453"/>
      <c r="X1" s="453"/>
      <c r="Y1" s="453"/>
      <c r="Z1" s="453"/>
      <c r="AA1" s="453"/>
      <c r="AB1" s="453"/>
      <c r="AC1" s="453"/>
    </row>
    <row r="2" spans="1:29" ht="15.75" customHeight="1" x14ac:dyDescent="0.25">
      <c r="A2" s="663"/>
      <c r="B2" s="596"/>
      <c r="C2" s="475"/>
      <c r="D2" s="101"/>
      <c r="E2" s="101"/>
      <c r="F2" s="101"/>
      <c r="G2" s="101"/>
      <c r="H2" s="101"/>
      <c r="I2" s="454"/>
      <c r="J2" s="454"/>
      <c r="K2" s="454"/>
      <c r="L2" s="454"/>
      <c r="M2" s="454"/>
      <c r="O2" s="453"/>
      <c r="P2" s="453"/>
      <c r="Q2" s="453"/>
      <c r="R2" s="453"/>
      <c r="S2" s="453"/>
      <c r="T2" s="453"/>
      <c r="U2" s="453"/>
      <c r="V2" s="453"/>
      <c r="W2" s="453"/>
      <c r="X2" s="453"/>
      <c r="Y2" s="453"/>
      <c r="Z2" s="453"/>
      <c r="AA2" s="453"/>
      <c r="AB2" s="453"/>
      <c r="AC2" s="453"/>
    </row>
    <row r="3" spans="1:29" ht="11.25" customHeight="1" x14ac:dyDescent="0.2">
      <c r="A3" s="374"/>
      <c r="B3" s="474"/>
      <c r="C3" s="474"/>
      <c r="D3" s="120"/>
      <c r="E3" s="120"/>
      <c r="F3" s="120"/>
      <c r="G3" s="120"/>
      <c r="H3" s="120"/>
      <c r="I3" s="453"/>
      <c r="J3" s="453"/>
      <c r="K3" s="453"/>
      <c r="L3" s="453"/>
      <c r="M3" s="453"/>
      <c r="O3" s="453"/>
      <c r="P3" s="453"/>
      <c r="Q3" s="453"/>
      <c r="R3" s="453"/>
      <c r="S3" s="453"/>
      <c r="T3" s="453"/>
      <c r="U3" s="453"/>
      <c r="V3" s="453"/>
      <c r="W3" s="453"/>
      <c r="X3" s="453"/>
      <c r="Y3" s="453"/>
      <c r="Z3" s="453"/>
      <c r="AA3" s="453"/>
      <c r="AB3" s="453"/>
      <c r="AC3" s="453"/>
    </row>
    <row r="4" spans="1:29" ht="12.75" customHeight="1" x14ac:dyDescent="0.2">
      <c r="A4" s="453"/>
      <c r="B4" s="468" t="s">
        <v>1</v>
      </c>
      <c r="C4" s="468"/>
      <c r="D4" s="586">
        <f>Übersicht!B8</f>
        <v>0</v>
      </c>
      <c r="E4" s="560"/>
      <c r="F4" s="560"/>
      <c r="G4" s="560"/>
      <c r="H4" s="560"/>
      <c r="I4" s="560"/>
      <c r="J4" s="560"/>
      <c r="K4" s="560"/>
      <c r="L4" s="471"/>
      <c r="M4" s="471"/>
      <c r="N4" s="13"/>
      <c r="O4" s="471"/>
      <c r="P4" s="471"/>
      <c r="Q4" s="471"/>
      <c r="R4" s="471"/>
      <c r="S4" s="471"/>
      <c r="T4" s="471"/>
      <c r="U4" s="471"/>
      <c r="V4" s="471"/>
      <c r="W4" s="471"/>
      <c r="X4" s="576"/>
      <c r="Y4" s="559"/>
      <c r="Z4" s="559"/>
      <c r="AA4" s="126"/>
      <c r="AB4" s="126"/>
      <c r="AC4" s="453"/>
    </row>
    <row r="5" spans="1:29" ht="17.25" customHeight="1" x14ac:dyDescent="0.2">
      <c r="A5" s="453"/>
      <c r="B5" s="468" t="s">
        <v>2</v>
      </c>
      <c r="C5" s="468"/>
      <c r="D5" s="586" t="str">
        <f>Übersicht!B9</f>
        <v>Betrieb Name, Ort</v>
      </c>
      <c r="E5" s="560"/>
      <c r="F5" s="560"/>
      <c r="G5" s="560"/>
      <c r="H5" s="560"/>
      <c r="I5" s="560"/>
      <c r="J5" s="560"/>
      <c r="K5" s="560"/>
      <c r="L5" s="471"/>
      <c r="M5" s="471"/>
      <c r="N5" s="471"/>
      <c r="O5" s="471"/>
      <c r="P5" s="471"/>
      <c r="Q5" s="471"/>
      <c r="R5" s="471"/>
      <c r="S5" s="471"/>
      <c r="T5" s="471"/>
      <c r="U5" s="471"/>
      <c r="V5" s="471"/>
      <c r="W5" s="471"/>
      <c r="X5" s="560"/>
      <c r="Y5" s="560"/>
      <c r="Z5" s="560"/>
      <c r="AA5" s="126"/>
      <c r="AB5" s="126"/>
      <c r="AC5" s="453"/>
    </row>
    <row r="6" spans="1:29" ht="21" customHeight="1" thickBot="1" x14ac:dyDescent="0.3">
      <c r="A6" s="665" t="s">
        <v>172</v>
      </c>
      <c r="B6" s="654"/>
      <c r="C6" s="654"/>
      <c r="D6" s="654"/>
      <c r="E6" s="654"/>
      <c r="F6" s="654"/>
      <c r="G6" s="654"/>
      <c r="H6" s="654"/>
      <c r="I6" s="654"/>
      <c r="J6" s="654"/>
      <c r="K6" s="654"/>
      <c r="L6" s="654"/>
      <c r="M6" s="654"/>
      <c r="O6" s="453"/>
      <c r="P6" s="453"/>
      <c r="Q6" s="453"/>
      <c r="R6" s="453"/>
      <c r="S6" s="453"/>
      <c r="T6" s="453"/>
      <c r="U6" s="453"/>
      <c r="V6" s="453"/>
      <c r="W6" s="453"/>
      <c r="X6" s="453"/>
      <c r="Y6" s="453"/>
      <c r="Z6" s="453"/>
      <c r="AA6" s="453"/>
      <c r="AB6" s="453"/>
      <c r="AC6" s="453"/>
    </row>
    <row r="7" spans="1:29" ht="13.5" customHeight="1" thickBot="1" x14ac:dyDescent="0.25">
      <c r="A7" s="661" t="s">
        <v>173</v>
      </c>
      <c r="B7" s="589"/>
      <c r="C7" s="589"/>
      <c r="D7" s="589"/>
      <c r="E7" s="589"/>
      <c r="F7" s="589"/>
      <c r="G7" s="589"/>
      <c r="H7" s="589"/>
      <c r="I7" s="589"/>
      <c r="J7" s="589"/>
      <c r="K7" s="589"/>
      <c r="L7" s="589"/>
      <c r="M7" s="590"/>
      <c r="O7" s="453"/>
      <c r="P7" s="453"/>
      <c r="Q7" s="453"/>
      <c r="R7" s="453"/>
      <c r="S7" s="453"/>
      <c r="T7" s="453"/>
      <c r="U7" s="453"/>
      <c r="V7" s="453"/>
      <c r="W7" s="453"/>
      <c r="X7" s="453"/>
      <c r="Y7" s="453"/>
      <c r="Z7" s="453"/>
      <c r="AA7" s="453"/>
      <c r="AB7" s="453"/>
      <c r="AC7" s="453"/>
    </row>
    <row r="8" spans="1:29" ht="66" customHeight="1" x14ac:dyDescent="0.2">
      <c r="A8" s="375" t="s">
        <v>174</v>
      </c>
      <c r="B8" s="41" t="s">
        <v>175</v>
      </c>
      <c r="C8" s="41" t="s">
        <v>176</v>
      </c>
      <c r="D8" s="41" t="s">
        <v>177</v>
      </c>
      <c r="E8" s="376" t="s">
        <v>178</v>
      </c>
      <c r="F8" s="41" t="s">
        <v>179</v>
      </c>
      <c r="G8" s="41" t="s">
        <v>180</v>
      </c>
      <c r="H8" s="41" t="s">
        <v>181</v>
      </c>
      <c r="I8" s="41" t="s">
        <v>182</v>
      </c>
      <c r="J8" s="41" t="s">
        <v>183</v>
      </c>
      <c r="K8" s="41" t="s">
        <v>184</v>
      </c>
      <c r="L8" s="41" t="s">
        <v>185</v>
      </c>
      <c r="M8" s="377" t="s">
        <v>186</v>
      </c>
      <c r="O8" s="453"/>
      <c r="P8" s="453"/>
      <c r="Q8" s="453"/>
      <c r="R8" s="453"/>
      <c r="S8" s="453"/>
      <c r="T8" s="453"/>
      <c r="U8" s="453"/>
      <c r="V8" s="453"/>
      <c r="W8" s="453"/>
      <c r="X8" s="453"/>
      <c r="Y8" s="453"/>
      <c r="Z8" s="453"/>
      <c r="AA8" s="453"/>
      <c r="AB8" s="453"/>
      <c r="AC8" s="453"/>
    </row>
    <row r="9" spans="1:29" ht="17.25" customHeight="1" x14ac:dyDescent="0.2">
      <c r="A9" s="378"/>
      <c r="B9" s="379"/>
      <c r="C9" s="379"/>
      <c r="D9" s="379" t="s">
        <v>187</v>
      </c>
      <c r="E9" s="380" t="s">
        <v>187</v>
      </c>
      <c r="F9" s="379" t="s">
        <v>188</v>
      </c>
      <c r="G9" s="379" t="s">
        <v>188</v>
      </c>
      <c r="H9" s="379" t="s">
        <v>189</v>
      </c>
      <c r="I9" s="379" t="s">
        <v>188</v>
      </c>
      <c r="J9" s="379" t="s">
        <v>188</v>
      </c>
      <c r="K9" s="379" t="s">
        <v>188</v>
      </c>
      <c r="L9" s="379" t="s">
        <v>188</v>
      </c>
      <c r="M9" s="381" t="s">
        <v>149</v>
      </c>
      <c r="O9" s="453"/>
      <c r="P9" s="453"/>
      <c r="Q9" s="453"/>
      <c r="R9" s="453"/>
      <c r="S9" s="453"/>
      <c r="T9" s="453"/>
      <c r="U9" s="453"/>
      <c r="V9" s="453"/>
      <c r="W9" s="453"/>
      <c r="X9" s="453"/>
      <c r="Y9" s="453"/>
      <c r="Z9" s="453"/>
      <c r="AA9" s="453"/>
      <c r="AB9" s="453"/>
      <c r="AC9" s="453"/>
    </row>
    <row r="10" spans="1:29" x14ac:dyDescent="0.2">
      <c r="A10" s="148">
        <v>1</v>
      </c>
      <c r="B10" s="164"/>
      <c r="C10" s="164"/>
      <c r="D10" s="344"/>
      <c r="E10" s="344"/>
      <c r="F10" s="165"/>
      <c r="G10" s="165"/>
      <c r="H10" s="165"/>
      <c r="I10" s="319">
        <f>IF(H10="x",Übersicht!$H$12/1000,0)</f>
        <v>0</v>
      </c>
      <c r="J10" s="165"/>
      <c r="K10" s="319">
        <f>IF(H10="x",0.2,0.1)</f>
        <v>0.1</v>
      </c>
      <c r="L10" s="319">
        <f>G10-I10-J10-K10</f>
        <v>-0.1</v>
      </c>
      <c r="M10" s="178">
        <f>C10*(F10/2)^2*3.14*L10</f>
        <v>0</v>
      </c>
      <c r="N10" s="416" t="s">
        <v>6</v>
      </c>
      <c r="O10" s="453"/>
      <c r="P10" s="453"/>
      <c r="Q10" s="453"/>
      <c r="R10" s="453"/>
      <c r="S10" s="453"/>
      <c r="T10" s="453"/>
      <c r="U10" s="453"/>
      <c r="V10" s="453"/>
      <c r="W10" s="453"/>
      <c r="X10" s="453"/>
      <c r="Y10" s="453"/>
      <c r="Z10" s="453"/>
      <c r="AA10" s="453"/>
      <c r="AB10" s="453"/>
      <c r="AC10" s="453"/>
    </row>
    <row r="11" spans="1:29" x14ac:dyDescent="0.2">
      <c r="A11" s="148">
        <v>2</v>
      </c>
      <c r="B11" s="164"/>
      <c r="C11" s="164">
        <v>0</v>
      </c>
      <c r="D11" s="344"/>
      <c r="E11" s="344"/>
      <c r="F11" s="165"/>
      <c r="G11" s="165"/>
      <c r="H11" s="165"/>
      <c r="I11" s="319">
        <f>IF(H11="x",Übersicht!$H$12/1000,0)</f>
        <v>0</v>
      </c>
      <c r="J11" s="165"/>
      <c r="K11" s="319">
        <f>IF(H11="x",0.2,0.1)</f>
        <v>0.1</v>
      </c>
      <c r="L11" s="319">
        <f>G11-I11-J11-K11</f>
        <v>-0.1</v>
      </c>
      <c r="M11" s="178">
        <f>C11*(F11/2)^2*3.14*L11</f>
        <v>0</v>
      </c>
      <c r="O11" s="453"/>
      <c r="P11" s="453"/>
      <c r="Q11" s="453"/>
      <c r="R11" s="453"/>
      <c r="S11" s="453"/>
      <c r="T11" s="453"/>
      <c r="U11" s="453"/>
      <c r="V11" s="453"/>
      <c r="W11" s="453"/>
      <c r="X11" s="453"/>
      <c r="Y11" s="453"/>
      <c r="Z11" s="453"/>
      <c r="AA11" s="453"/>
      <c r="AB11" s="453"/>
      <c r="AC11" s="453"/>
    </row>
    <row r="12" spans="1:29" x14ac:dyDescent="0.2">
      <c r="A12" s="148">
        <v>3</v>
      </c>
      <c r="B12" s="164"/>
      <c r="C12" s="164"/>
      <c r="D12" s="344"/>
      <c r="E12" s="344"/>
      <c r="F12" s="165"/>
      <c r="G12" s="165"/>
      <c r="H12" s="165"/>
      <c r="I12" s="319">
        <f>IF(H12="x",Übersicht!$H$12/1000,0)</f>
        <v>0</v>
      </c>
      <c r="J12" s="165"/>
      <c r="K12" s="319">
        <f>IF(H12="x",0.2,0.1)</f>
        <v>0.1</v>
      </c>
      <c r="L12" s="319">
        <f>G12-I12-J12-K12</f>
        <v>-0.1</v>
      </c>
      <c r="M12" s="178">
        <f>C12*(F12/2)^2*3.14*L12</f>
        <v>0</v>
      </c>
      <c r="O12" s="453"/>
      <c r="P12" s="453"/>
      <c r="Q12" s="453"/>
      <c r="R12" s="453"/>
      <c r="S12" s="453"/>
      <c r="T12" s="453"/>
      <c r="U12" s="453"/>
      <c r="V12" s="453"/>
      <c r="W12" s="453"/>
      <c r="X12" s="453"/>
      <c r="Y12" s="453"/>
      <c r="Z12" s="453"/>
      <c r="AA12" s="453"/>
      <c r="AB12" s="453"/>
      <c r="AC12" s="453"/>
    </row>
    <row r="13" spans="1:29" x14ac:dyDescent="0.2">
      <c r="A13" s="148">
        <v>4</v>
      </c>
      <c r="B13" s="164"/>
      <c r="C13" s="164"/>
      <c r="D13" s="344"/>
      <c r="E13" s="344"/>
      <c r="F13" s="165"/>
      <c r="G13" s="165"/>
      <c r="H13" s="165"/>
      <c r="I13" s="319">
        <f>IF(H13="x",Übersicht!$H$12/1000,0)</f>
        <v>0</v>
      </c>
      <c r="J13" s="165"/>
      <c r="K13" s="319">
        <f>IF(H13="x",0.2,0.1)</f>
        <v>0.1</v>
      </c>
      <c r="L13" s="319">
        <f>G13-I13-J13-K13</f>
        <v>-0.1</v>
      </c>
      <c r="M13" s="178">
        <f>C13*(F13/2)^2*3.14*L13</f>
        <v>0</v>
      </c>
      <c r="O13" s="453"/>
      <c r="P13" s="453"/>
      <c r="Q13" s="453"/>
      <c r="R13" s="453"/>
      <c r="S13" s="453"/>
      <c r="T13" s="453"/>
      <c r="U13" s="453"/>
      <c r="V13" s="453"/>
      <c r="W13" s="453"/>
      <c r="X13" s="453"/>
      <c r="Y13" s="453"/>
      <c r="Z13" s="453"/>
      <c r="AA13" s="453"/>
      <c r="AB13" s="453"/>
      <c r="AC13" s="453"/>
    </row>
    <row r="14" spans="1:29" ht="13.5" customHeight="1" thickBot="1" x14ac:dyDescent="0.25">
      <c r="A14" s="37">
        <v>5</v>
      </c>
      <c r="B14" s="304"/>
      <c r="C14" s="304"/>
      <c r="D14" s="345"/>
      <c r="E14" s="345"/>
      <c r="F14" s="320"/>
      <c r="G14" s="320"/>
      <c r="H14" s="320"/>
      <c r="I14" s="321">
        <f>IF(H14="x",Übersicht!$H$12/1000,0)</f>
        <v>0</v>
      </c>
      <c r="J14" s="320"/>
      <c r="K14" s="321">
        <f>IF(H14="x",0.2,0.1)</f>
        <v>0.1</v>
      </c>
      <c r="L14" s="321">
        <f>G14-I14-J14-K14</f>
        <v>-0.1</v>
      </c>
      <c r="M14" s="179">
        <f>C14*(F14/2)^2*3.14*L14</f>
        <v>0</v>
      </c>
      <c r="O14" s="453"/>
      <c r="P14" s="453"/>
      <c r="Q14" s="453"/>
      <c r="R14" s="453"/>
      <c r="S14" s="453"/>
      <c r="T14" s="453"/>
      <c r="U14" s="453"/>
      <c r="V14" s="453"/>
      <c r="W14" s="453"/>
      <c r="X14" s="453"/>
      <c r="Y14" s="453"/>
      <c r="Z14" s="453"/>
      <c r="AA14" s="453"/>
      <c r="AB14" s="453"/>
      <c r="AC14" s="453"/>
    </row>
    <row r="15" spans="1:29" ht="15" customHeight="1" thickBot="1" x14ac:dyDescent="0.25">
      <c r="B15" s="172" t="s">
        <v>190</v>
      </c>
      <c r="M15" s="264"/>
      <c r="O15" s="453"/>
      <c r="P15" s="453"/>
      <c r="Q15" s="453"/>
      <c r="R15" s="453"/>
      <c r="S15" s="453"/>
      <c r="T15" s="453"/>
      <c r="U15" s="453"/>
      <c r="V15" s="453"/>
      <c r="W15" s="453"/>
      <c r="X15" s="453"/>
      <c r="Y15" s="453"/>
      <c r="Z15" s="453"/>
      <c r="AA15" s="453"/>
      <c r="AB15" s="453"/>
      <c r="AC15" s="453"/>
    </row>
    <row r="16" spans="1:29" ht="13.5" customHeight="1" thickBot="1" x14ac:dyDescent="0.25">
      <c r="A16" s="666" t="s">
        <v>191</v>
      </c>
      <c r="B16" s="592"/>
      <c r="C16" s="592"/>
      <c r="D16" s="592"/>
      <c r="E16" s="592"/>
      <c r="F16" s="592"/>
      <c r="G16" s="592"/>
      <c r="H16" s="592"/>
      <c r="I16" s="592"/>
      <c r="J16" s="592"/>
      <c r="K16" s="592"/>
      <c r="L16" s="592"/>
      <c r="M16" s="593"/>
      <c r="O16" s="453"/>
      <c r="P16" s="453"/>
      <c r="Q16" s="453"/>
      <c r="R16" s="453"/>
      <c r="S16" s="453"/>
      <c r="T16" s="453"/>
      <c r="U16" s="453"/>
      <c r="V16" s="453"/>
      <c r="W16" s="453"/>
      <c r="X16" s="453"/>
      <c r="Y16" s="453"/>
      <c r="Z16" s="453"/>
      <c r="AA16" s="453"/>
      <c r="AB16" s="453"/>
      <c r="AC16" s="453"/>
    </row>
    <row r="17" spans="1:29" ht="72.75" customHeight="1" x14ac:dyDescent="0.2">
      <c r="A17" s="375" t="s">
        <v>174</v>
      </c>
      <c r="B17" s="41" t="s">
        <v>175</v>
      </c>
      <c r="C17" s="41" t="s">
        <v>176</v>
      </c>
      <c r="D17" s="41" t="s">
        <v>192</v>
      </c>
      <c r="E17" s="376" t="s">
        <v>193</v>
      </c>
      <c r="F17" s="41" t="s">
        <v>179</v>
      </c>
      <c r="G17" s="41" t="s">
        <v>180</v>
      </c>
      <c r="H17" s="41" t="s">
        <v>181</v>
      </c>
      <c r="I17" s="41" t="s">
        <v>182</v>
      </c>
      <c r="J17" s="41" t="s">
        <v>183</v>
      </c>
      <c r="K17" s="41" t="s">
        <v>194</v>
      </c>
      <c r="L17" s="41" t="s">
        <v>185</v>
      </c>
      <c r="M17" s="377" t="s">
        <v>186</v>
      </c>
      <c r="O17" s="453"/>
      <c r="P17" s="453"/>
      <c r="Q17" s="453"/>
      <c r="R17" s="453"/>
      <c r="S17" s="453"/>
      <c r="T17" s="453"/>
      <c r="U17" s="453"/>
      <c r="V17" s="453"/>
      <c r="W17" s="453"/>
      <c r="X17" s="453"/>
      <c r="Y17" s="453"/>
      <c r="Z17" s="453"/>
      <c r="AA17" s="453"/>
      <c r="AB17" s="453"/>
      <c r="AC17" s="453"/>
    </row>
    <row r="18" spans="1:29" ht="16.5" customHeight="1" x14ac:dyDescent="0.2">
      <c r="A18" s="378"/>
      <c r="B18" s="379"/>
      <c r="C18" s="379"/>
      <c r="D18" s="379" t="s">
        <v>188</v>
      </c>
      <c r="E18" s="380" t="s">
        <v>187</v>
      </c>
      <c r="F18" s="379" t="s">
        <v>188</v>
      </c>
      <c r="G18" s="379" t="s">
        <v>188</v>
      </c>
      <c r="H18" s="379" t="s">
        <v>195</v>
      </c>
      <c r="I18" s="379" t="s">
        <v>188</v>
      </c>
      <c r="J18" s="379" t="s">
        <v>188</v>
      </c>
      <c r="K18" s="379" t="s">
        <v>187</v>
      </c>
      <c r="L18" s="379" t="s">
        <v>188</v>
      </c>
      <c r="M18" s="381" t="s">
        <v>149</v>
      </c>
      <c r="O18" s="453"/>
      <c r="P18" s="453"/>
      <c r="Q18" s="453"/>
      <c r="R18" s="453"/>
      <c r="S18" s="453"/>
      <c r="T18" s="453"/>
      <c r="U18" s="453"/>
      <c r="V18" s="453"/>
      <c r="W18" s="453"/>
      <c r="X18" s="453"/>
      <c r="Y18" s="453"/>
      <c r="Z18" s="453"/>
      <c r="AA18" s="453"/>
      <c r="AB18" s="453"/>
      <c r="AC18" s="453"/>
    </row>
    <row r="19" spans="1:29" x14ac:dyDescent="0.2">
      <c r="A19" s="148">
        <v>1</v>
      </c>
      <c r="B19" s="164"/>
      <c r="C19" s="164"/>
      <c r="D19" s="165"/>
      <c r="E19" s="166"/>
      <c r="F19" s="346"/>
      <c r="G19" s="166"/>
      <c r="H19" s="166"/>
      <c r="I19" s="319">
        <f>IF(H19="x",Übersicht!$H$12/1000,0)</f>
        <v>0</v>
      </c>
      <c r="J19" s="166"/>
      <c r="K19" s="344"/>
      <c r="L19" s="167">
        <f>G19-0.2-I19-J19</f>
        <v>-0.2</v>
      </c>
      <c r="M19" s="168">
        <f>C19*D19*E19*L19</f>
        <v>0</v>
      </c>
      <c r="O19" s="453"/>
      <c r="P19" s="453"/>
      <c r="Q19" s="453"/>
      <c r="R19" s="453"/>
      <c r="S19" s="453"/>
      <c r="T19" s="453"/>
      <c r="U19" s="453"/>
      <c r="V19" s="453"/>
      <c r="W19" s="453"/>
      <c r="X19" s="453"/>
      <c r="Y19" s="453"/>
      <c r="Z19" s="453"/>
      <c r="AA19" s="453"/>
      <c r="AB19" s="453"/>
      <c r="AC19" s="453"/>
    </row>
    <row r="20" spans="1:29" x14ac:dyDescent="0.2">
      <c r="A20" s="148">
        <v>2</v>
      </c>
      <c r="B20" s="164"/>
      <c r="C20" s="164"/>
      <c r="D20" s="165"/>
      <c r="E20" s="166"/>
      <c r="F20" s="344"/>
      <c r="G20" s="165"/>
      <c r="H20" s="165"/>
      <c r="I20" s="319">
        <f>IF(H20="x",Übersicht!$H$12/1000,0)</f>
        <v>0</v>
      </c>
      <c r="J20" s="165"/>
      <c r="K20" s="344"/>
      <c r="L20" s="167">
        <f>G20-0.2-I20-J20</f>
        <v>-0.2</v>
      </c>
      <c r="M20" s="168">
        <f>C20*D20*E20*L20</f>
        <v>0</v>
      </c>
      <c r="O20" s="453"/>
      <c r="P20" s="453"/>
      <c r="Q20" s="453"/>
      <c r="R20" s="453"/>
      <c r="S20" s="453"/>
      <c r="T20" s="453"/>
      <c r="U20" s="453"/>
      <c r="V20" s="453"/>
      <c r="W20" s="453"/>
      <c r="X20" s="453"/>
      <c r="Y20" s="453"/>
      <c r="Z20" s="453"/>
      <c r="AA20" s="453"/>
      <c r="AB20" s="453"/>
      <c r="AC20" s="453"/>
    </row>
    <row r="21" spans="1:29" x14ac:dyDescent="0.2">
      <c r="A21" s="148">
        <v>3</v>
      </c>
      <c r="B21" s="164"/>
      <c r="C21" s="164"/>
      <c r="D21" s="165"/>
      <c r="E21" s="166"/>
      <c r="F21" s="344"/>
      <c r="G21" s="165"/>
      <c r="H21" s="165"/>
      <c r="I21" s="319">
        <f>IF(H21="x",Übersicht!$H$12/1000,0)</f>
        <v>0</v>
      </c>
      <c r="J21" s="165"/>
      <c r="K21" s="344"/>
      <c r="L21" s="167">
        <f>G21-0.2-I21-J21</f>
        <v>-0.2</v>
      </c>
      <c r="M21" s="168">
        <f>C21*D21*E21*L21</f>
        <v>0</v>
      </c>
      <c r="O21" s="453"/>
      <c r="P21" s="453"/>
      <c r="Q21" s="453"/>
      <c r="R21" s="453"/>
      <c r="S21" s="453"/>
      <c r="T21" s="453"/>
      <c r="U21" s="453"/>
      <c r="V21" s="453"/>
      <c r="W21" s="453"/>
      <c r="X21" s="453"/>
      <c r="Y21" s="453"/>
      <c r="Z21" s="453"/>
      <c r="AA21" s="453"/>
      <c r="AB21" s="453"/>
      <c r="AC21" s="453"/>
    </row>
    <row r="22" spans="1:29" x14ac:dyDescent="0.2">
      <c r="A22" s="148">
        <v>4</v>
      </c>
      <c r="B22" s="164"/>
      <c r="C22" s="164"/>
      <c r="D22" s="165"/>
      <c r="E22" s="166"/>
      <c r="F22" s="344"/>
      <c r="G22" s="165"/>
      <c r="H22" s="165"/>
      <c r="I22" s="319">
        <f>IF(H22="x",Übersicht!$H$12/1000,0)</f>
        <v>0</v>
      </c>
      <c r="J22" s="165"/>
      <c r="K22" s="344"/>
      <c r="L22" s="167">
        <f>G22-0.2-I22-J22</f>
        <v>-0.2</v>
      </c>
      <c r="M22" s="168">
        <f>C22*D22*E22*L22</f>
        <v>0</v>
      </c>
      <c r="O22" s="453"/>
      <c r="P22" s="453"/>
      <c r="Q22" s="453"/>
      <c r="R22" s="453"/>
      <c r="S22" s="453"/>
      <c r="T22" s="453"/>
      <c r="U22" s="453"/>
      <c r="V22" s="453"/>
      <c r="W22" s="453"/>
      <c r="X22" s="453"/>
      <c r="Y22" s="453"/>
      <c r="Z22" s="453"/>
      <c r="AA22" s="453"/>
      <c r="AB22" s="453"/>
      <c r="AC22" s="453"/>
    </row>
    <row r="23" spans="1:29" x14ac:dyDescent="0.2">
      <c r="A23" s="148">
        <v>4</v>
      </c>
      <c r="B23" s="164"/>
      <c r="C23" s="164"/>
      <c r="D23" s="165"/>
      <c r="E23" s="166"/>
      <c r="F23" s="344"/>
      <c r="G23" s="165"/>
      <c r="H23" s="165"/>
      <c r="I23" s="319">
        <f>IF(H23="x",Übersicht!$H$12/1000,0)</f>
        <v>0</v>
      </c>
      <c r="J23" s="165"/>
      <c r="K23" s="344"/>
      <c r="L23" s="167">
        <f>G23-0.2-I23-J23</f>
        <v>-0.2</v>
      </c>
      <c r="M23" s="168">
        <f>C23*D23*E23*L23</f>
        <v>0</v>
      </c>
      <c r="O23" s="453"/>
      <c r="P23" s="453"/>
      <c r="Q23" s="453"/>
      <c r="R23" s="453"/>
      <c r="S23" s="453"/>
      <c r="T23" s="453"/>
      <c r="U23" s="453"/>
      <c r="V23" s="453"/>
      <c r="W23" s="453"/>
      <c r="X23" s="453"/>
      <c r="Y23" s="453"/>
      <c r="Z23" s="453"/>
      <c r="AA23" s="453"/>
      <c r="AB23" s="453"/>
      <c r="AC23" s="453"/>
    </row>
    <row r="24" spans="1:29" x14ac:dyDescent="0.2">
      <c r="A24" s="148">
        <v>7</v>
      </c>
      <c r="B24" s="164"/>
      <c r="C24" s="164"/>
      <c r="D24" s="165"/>
      <c r="E24" s="166"/>
      <c r="F24" s="344"/>
      <c r="G24" s="165"/>
      <c r="H24" s="165"/>
      <c r="I24" s="319">
        <f>IF(H24="x",Übersicht!$H$12/1000,0)</f>
        <v>0</v>
      </c>
      <c r="J24" s="165"/>
      <c r="K24" s="344"/>
      <c r="L24" s="167"/>
      <c r="M24" s="169"/>
      <c r="O24" s="453"/>
      <c r="P24" s="453"/>
      <c r="Q24" s="453"/>
      <c r="R24" s="453"/>
      <c r="S24" s="453"/>
      <c r="T24" s="453"/>
      <c r="U24" s="453"/>
      <c r="V24" s="453"/>
      <c r="W24" s="453"/>
      <c r="X24" s="453"/>
      <c r="Y24" s="453"/>
      <c r="Z24" s="453"/>
      <c r="AA24" s="453"/>
      <c r="AB24" s="453"/>
      <c r="AC24" s="453"/>
    </row>
    <row r="25" spans="1:29" ht="13.5" customHeight="1" thickBot="1" x14ac:dyDescent="0.25">
      <c r="A25" s="37">
        <v>8</v>
      </c>
      <c r="B25" s="272"/>
      <c r="C25" s="322"/>
      <c r="D25" s="323"/>
      <c r="E25" s="323"/>
      <c r="F25" s="347"/>
      <c r="G25" s="324"/>
      <c r="H25" s="324"/>
      <c r="I25" s="325">
        <f>IF(H25="x",Übersicht!$H$12/1000,0)</f>
        <v>0</v>
      </c>
      <c r="J25" s="324"/>
      <c r="K25" s="347"/>
      <c r="L25" s="326"/>
      <c r="M25" s="170"/>
      <c r="O25" s="453"/>
      <c r="P25" s="453"/>
      <c r="Q25" s="453"/>
      <c r="R25" s="453"/>
      <c r="S25" s="453"/>
      <c r="T25" s="453"/>
      <c r="U25" s="453"/>
      <c r="V25" s="453"/>
      <c r="W25" s="453"/>
      <c r="X25" s="453"/>
      <c r="Y25" s="453"/>
      <c r="Z25" s="453"/>
      <c r="AA25" s="453"/>
      <c r="AB25" s="453"/>
      <c r="AC25" s="453"/>
    </row>
    <row r="26" spans="1:29" ht="13.5" customHeight="1" thickBot="1" x14ac:dyDescent="0.25">
      <c r="A26" s="383"/>
      <c r="B26" s="662" t="s">
        <v>196</v>
      </c>
      <c r="C26" s="599"/>
      <c r="D26" s="599"/>
      <c r="E26" s="599"/>
      <c r="F26" s="599"/>
      <c r="G26" s="599"/>
      <c r="H26" s="599"/>
      <c r="I26" s="599"/>
      <c r="J26" s="599"/>
      <c r="K26" s="599"/>
      <c r="L26" s="632"/>
      <c r="M26" s="327">
        <f>SUM(M10:M14,M19:M25)</f>
        <v>0</v>
      </c>
      <c r="N26" s="453"/>
      <c r="O26" s="453"/>
      <c r="P26" s="453"/>
      <c r="Q26" s="453"/>
      <c r="R26" s="453"/>
      <c r="S26" s="453"/>
      <c r="T26" s="453"/>
      <c r="U26" s="453"/>
      <c r="V26" s="453"/>
      <c r="W26" s="453"/>
      <c r="X26" s="453"/>
      <c r="Y26" s="453"/>
      <c r="Z26" s="453"/>
      <c r="AA26" s="453"/>
      <c r="AB26" s="453"/>
      <c r="AC26" s="453"/>
    </row>
    <row r="27" spans="1:29" s="453" customFormat="1" ht="15.75" customHeight="1" thickBot="1" x14ac:dyDescent="0.3">
      <c r="A27" s="664" t="s">
        <v>197</v>
      </c>
      <c r="B27" s="654"/>
      <c r="C27" s="654"/>
      <c r="D27" s="654"/>
      <c r="E27" s="654"/>
      <c r="F27" s="654"/>
      <c r="G27" s="654"/>
      <c r="H27" s="654"/>
      <c r="I27" s="654"/>
      <c r="J27" s="654"/>
      <c r="K27" s="654"/>
      <c r="L27" s="654"/>
      <c r="M27" s="654"/>
    </row>
    <row r="28" spans="1:29" ht="91.5" customHeight="1" x14ac:dyDescent="0.2">
      <c r="A28" s="375" t="s">
        <v>174</v>
      </c>
      <c r="B28" s="41" t="s">
        <v>175</v>
      </c>
      <c r="C28" s="41" t="s">
        <v>176</v>
      </c>
      <c r="D28" s="41" t="s">
        <v>198</v>
      </c>
      <c r="E28" s="41" t="s">
        <v>199</v>
      </c>
      <c r="F28" s="376" t="s">
        <v>200</v>
      </c>
      <c r="G28" s="376" t="s">
        <v>201</v>
      </c>
      <c r="H28" s="41" t="s">
        <v>180</v>
      </c>
      <c r="I28" s="41" t="s">
        <v>181</v>
      </c>
      <c r="J28" s="41" t="s">
        <v>183</v>
      </c>
      <c r="K28" s="41" t="s">
        <v>182</v>
      </c>
      <c r="L28" s="41" t="s">
        <v>202</v>
      </c>
      <c r="M28" s="41" t="s">
        <v>185</v>
      </c>
      <c r="N28" s="377" t="s">
        <v>186</v>
      </c>
      <c r="O28" s="453"/>
      <c r="P28" s="453"/>
      <c r="Q28" s="453"/>
      <c r="R28" s="453"/>
      <c r="S28" s="453"/>
      <c r="T28" s="453"/>
      <c r="U28" s="453"/>
      <c r="V28" s="453"/>
      <c r="W28" s="453"/>
      <c r="X28" s="453"/>
      <c r="Y28" s="453"/>
      <c r="Z28" s="453"/>
      <c r="AA28" s="453"/>
      <c r="AB28" s="453"/>
      <c r="AC28" s="453"/>
    </row>
    <row r="29" spans="1:29" x14ac:dyDescent="0.2">
      <c r="A29" s="378"/>
      <c r="B29" s="379"/>
      <c r="C29" s="379"/>
      <c r="D29" s="379" t="s">
        <v>188</v>
      </c>
      <c r="E29" s="379" t="s">
        <v>188</v>
      </c>
      <c r="F29" s="380" t="s">
        <v>188</v>
      </c>
      <c r="G29" s="380" t="s">
        <v>188</v>
      </c>
      <c r="H29" s="379" t="s">
        <v>188</v>
      </c>
      <c r="I29" s="379" t="s">
        <v>203</v>
      </c>
      <c r="J29" s="379" t="s">
        <v>188</v>
      </c>
      <c r="K29" s="379" t="s">
        <v>188</v>
      </c>
      <c r="L29" s="379" t="s">
        <v>188</v>
      </c>
      <c r="M29" s="379" t="s">
        <v>188</v>
      </c>
      <c r="N29" s="381" t="s">
        <v>149</v>
      </c>
      <c r="O29" s="453"/>
      <c r="P29" s="453"/>
      <c r="Q29" s="453"/>
      <c r="R29" s="453"/>
      <c r="S29" s="453"/>
      <c r="T29" s="453"/>
      <c r="U29" s="453"/>
      <c r="V29" s="453"/>
      <c r="W29" s="453"/>
      <c r="X29" s="453"/>
      <c r="Y29" s="453"/>
      <c r="Z29" s="453"/>
      <c r="AA29" s="453"/>
      <c r="AB29" s="453"/>
      <c r="AC29" s="453"/>
    </row>
    <row r="30" spans="1:29" x14ac:dyDescent="0.2">
      <c r="A30" s="148">
        <v>1</v>
      </c>
      <c r="B30" s="307"/>
      <c r="C30" s="164"/>
      <c r="D30" s="165"/>
      <c r="E30" s="165"/>
      <c r="F30" s="166"/>
      <c r="G30" s="166"/>
      <c r="H30" s="166"/>
      <c r="I30" s="166"/>
      <c r="J30" s="166"/>
      <c r="K30" s="319">
        <f>IF(I30="x",Übersicht!$H$12/1000,0)</f>
        <v>0</v>
      </c>
      <c r="L30" s="319">
        <f>IF(I30="x",0.5,0)</f>
        <v>0</v>
      </c>
      <c r="M30" s="167">
        <f>IF(I30="x",H30-L30-K30-J30,H30-K30-J30)</f>
        <v>0</v>
      </c>
      <c r="N30" s="168">
        <f>C30*M30/3*((D30*F30+E30*G30)+(SQRT(D30*E30*F30*G30)))</f>
        <v>0</v>
      </c>
      <c r="O30" s="453"/>
      <c r="P30" s="453"/>
      <c r="Q30" s="453"/>
      <c r="R30" s="453"/>
      <c r="S30" s="453"/>
      <c r="T30" s="453"/>
      <c r="U30" s="453"/>
      <c r="V30" s="453"/>
      <c r="W30" s="453"/>
      <c r="X30" s="453"/>
      <c r="Y30" s="453"/>
      <c r="Z30" s="453"/>
      <c r="AA30" s="453"/>
      <c r="AB30" s="453"/>
      <c r="AC30" s="453"/>
    </row>
    <row r="31" spans="1:29" ht="13.5" customHeight="1" thickBot="1" x14ac:dyDescent="0.25">
      <c r="A31" s="37">
        <v>8</v>
      </c>
      <c r="B31" s="308"/>
      <c r="C31" s="314"/>
      <c r="D31" s="313"/>
      <c r="E31" s="313"/>
      <c r="F31" s="313"/>
      <c r="G31" s="313"/>
      <c r="H31" s="315"/>
      <c r="I31" s="315"/>
      <c r="J31" s="315"/>
      <c r="K31" s="315"/>
      <c r="L31" s="315"/>
      <c r="M31" s="315"/>
      <c r="N31" s="170">
        <v>0</v>
      </c>
      <c r="O31" s="55"/>
      <c r="P31" s="453"/>
      <c r="Q31" s="453"/>
      <c r="R31" s="453"/>
      <c r="S31" s="453"/>
      <c r="T31" s="453"/>
      <c r="U31" s="453"/>
      <c r="V31" s="453"/>
      <c r="W31" s="453"/>
      <c r="X31" s="453"/>
      <c r="Y31" s="453"/>
      <c r="Z31" s="453"/>
      <c r="AA31" s="453"/>
      <c r="AB31" s="453"/>
      <c r="AC31" s="453"/>
    </row>
    <row r="32" spans="1:29" ht="15" customHeight="1" thickBot="1" x14ac:dyDescent="0.25">
      <c r="B32" s="74" t="s">
        <v>204</v>
      </c>
      <c r="C32" s="453"/>
      <c r="D32" s="453"/>
      <c r="L32" s="264"/>
      <c r="M32" s="478" t="s">
        <v>205</v>
      </c>
      <c r="N32" s="171">
        <f>SUM(N30:N31)</f>
        <v>0</v>
      </c>
      <c r="O32" s="453"/>
      <c r="P32" s="453"/>
      <c r="Q32" s="453"/>
      <c r="R32" s="453"/>
      <c r="S32" s="453"/>
      <c r="T32" s="453"/>
      <c r="U32" s="453"/>
      <c r="V32" s="453"/>
      <c r="W32" s="453"/>
      <c r="X32" s="453"/>
      <c r="Y32" s="453"/>
      <c r="Z32" s="453"/>
      <c r="AA32" s="453"/>
      <c r="AB32" s="453"/>
      <c r="AC32" s="453"/>
    </row>
    <row r="33" spans="15:29" x14ac:dyDescent="0.2">
      <c r="O33" s="453"/>
      <c r="P33" s="453"/>
      <c r="Q33" s="453"/>
      <c r="R33" s="453"/>
      <c r="S33" s="453"/>
      <c r="T33" s="453"/>
      <c r="U33" s="453"/>
      <c r="V33" s="453"/>
      <c r="W33" s="453"/>
      <c r="X33" s="453"/>
      <c r="Y33" s="453"/>
      <c r="Z33" s="453"/>
      <c r="AA33" s="453"/>
      <c r="AB33" s="453"/>
      <c r="AC33" s="453"/>
    </row>
    <row r="34" spans="15:29" x14ac:dyDescent="0.2">
      <c r="O34" s="453"/>
      <c r="P34" s="453"/>
      <c r="Q34" s="453"/>
      <c r="R34" s="453"/>
      <c r="S34" s="453"/>
      <c r="T34" s="453"/>
      <c r="U34" s="453"/>
      <c r="V34" s="453"/>
      <c r="W34" s="453"/>
      <c r="X34" s="453"/>
      <c r="Y34" s="453"/>
      <c r="Z34" s="453"/>
      <c r="AA34" s="453"/>
      <c r="AB34" s="453"/>
      <c r="AC34" s="453"/>
    </row>
    <row r="35" spans="15:29" x14ac:dyDescent="0.2">
      <c r="O35" s="453"/>
      <c r="P35" s="453"/>
      <c r="Q35" s="453"/>
      <c r="R35" s="453"/>
      <c r="S35" s="453"/>
      <c r="T35" s="453"/>
      <c r="U35" s="453"/>
      <c r="V35" s="453"/>
      <c r="W35" s="453"/>
      <c r="X35" s="453"/>
      <c r="Y35" s="453"/>
      <c r="Z35" s="453"/>
      <c r="AA35" s="453"/>
      <c r="AB35" s="453"/>
      <c r="AC35" s="453"/>
    </row>
    <row r="36" spans="15:29" x14ac:dyDescent="0.2">
      <c r="O36" s="453"/>
      <c r="P36" s="453"/>
      <c r="Q36" s="453"/>
      <c r="R36" s="453"/>
      <c r="S36" s="453"/>
      <c r="T36" s="453"/>
      <c r="U36" s="453"/>
      <c r="V36" s="453"/>
      <c r="W36" s="453"/>
      <c r="X36" s="453"/>
      <c r="Y36" s="453"/>
      <c r="Z36" s="453"/>
      <c r="AA36" s="453"/>
      <c r="AB36" s="453"/>
      <c r="AC36" s="453"/>
    </row>
    <row r="37" spans="15:29" x14ac:dyDescent="0.2">
      <c r="O37" s="453"/>
      <c r="P37" s="453"/>
      <c r="Q37" s="453"/>
      <c r="R37" s="453"/>
      <c r="S37" s="453"/>
      <c r="T37" s="453"/>
      <c r="U37" s="453"/>
      <c r="V37" s="453"/>
      <c r="W37" s="453"/>
      <c r="X37" s="453"/>
      <c r="Y37" s="453"/>
      <c r="Z37" s="453"/>
      <c r="AA37" s="453"/>
      <c r="AB37" s="453"/>
      <c r="AC37" s="453"/>
    </row>
    <row r="38" spans="15:29" x14ac:dyDescent="0.2">
      <c r="O38" s="453"/>
      <c r="P38" s="453"/>
      <c r="Q38" s="453"/>
      <c r="R38" s="453"/>
      <c r="S38" s="453"/>
      <c r="T38" s="453"/>
      <c r="U38" s="453"/>
      <c r="V38" s="453"/>
      <c r="W38" s="453"/>
      <c r="X38" s="453"/>
      <c r="Y38" s="453"/>
      <c r="Z38" s="453"/>
      <c r="AA38" s="453"/>
      <c r="AB38" s="453"/>
      <c r="AC38" s="453"/>
    </row>
    <row r="39" spans="15:29" x14ac:dyDescent="0.2">
      <c r="O39" s="453"/>
      <c r="P39" s="453"/>
      <c r="Q39" s="453"/>
      <c r="R39" s="453"/>
      <c r="S39" s="453"/>
      <c r="T39" s="453"/>
      <c r="U39" s="453"/>
      <c r="V39" s="453"/>
      <c r="W39" s="453"/>
      <c r="X39" s="453"/>
      <c r="Y39" s="453"/>
      <c r="Z39" s="453"/>
      <c r="AA39" s="453"/>
      <c r="AB39" s="453"/>
      <c r="AC39" s="453"/>
    </row>
    <row r="40" spans="15:29" x14ac:dyDescent="0.2">
      <c r="O40" s="453"/>
      <c r="P40" s="453"/>
      <c r="Q40" s="453"/>
      <c r="R40" s="453"/>
      <c r="S40" s="453"/>
      <c r="T40" s="453"/>
      <c r="U40" s="453"/>
      <c r="V40" s="453"/>
      <c r="W40" s="453"/>
      <c r="X40" s="453"/>
      <c r="Y40" s="453"/>
      <c r="Z40" s="453"/>
      <c r="AA40" s="453"/>
      <c r="AB40" s="453"/>
      <c r="AC40" s="453"/>
    </row>
    <row r="41" spans="15:29" x14ac:dyDescent="0.2">
      <c r="O41" s="453"/>
      <c r="P41" s="453"/>
      <c r="Q41" s="453"/>
      <c r="R41" s="453"/>
      <c r="S41" s="453"/>
      <c r="T41" s="453"/>
      <c r="U41" s="453"/>
      <c r="V41" s="453"/>
      <c r="W41" s="453"/>
      <c r="X41" s="453"/>
      <c r="Y41" s="453"/>
      <c r="Z41" s="453"/>
      <c r="AA41" s="453"/>
      <c r="AB41" s="453"/>
      <c r="AC41" s="453"/>
    </row>
    <row r="42" spans="15:29" x14ac:dyDescent="0.2">
      <c r="O42" s="453"/>
      <c r="P42" s="453"/>
      <c r="Q42" s="453"/>
      <c r="R42" s="453"/>
      <c r="S42" s="453"/>
      <c r="T42" s="453"/>
      <c r="U42" s="453"/>
      <c r="V42" s="453"/>
      <c r="W42" s="453"/>
      <c r="X42" s="453"/>
      <c r="Y42" s="453"/>
      <c r="Z42" s="453"/>
      <c r="AA42" s="453"/>
      <c r="AB42" s="453"/>
      <c r="AC42" s="453"/>
    </row>
    <row r="43" spans="15:29" x14ac:dyDescent="0.2">
      <c r="O43" s="453"/>
      <c r="P43" s="453"/>
      <c r="Q43" s="453"/>
      <c r="R43" s="453"/>
      <c r="S43" s="453"/>
      <c r="T43" s="453"/>
      <c r="U43" s="453"/>
      <c r="V43" s="453"/>
      <c r="W43" s="453"/>
      <c r="X43" s="453"/>
      <c r="Y43" s="453"/>
      <c r="Z43" s="453"/>
      <c r="AA43" s="453"/>
      <c r="AB43" s="453"/>
      <c r="AC43" s="453"/>
    </row>
    <row r="70" spans="1:20" x14ac:dyDescent="0.2">
      <c r="A70" s="441"/>
      <c r="B70" s="445"/>
      <c r="C70" s="445"/>
      <c r="D70" s="441"/>
      <c r="E70" s="441"/>
      <c r="F70" s="441"/>
      <c r="G70" s="441"/>
      <c r="H70" s="441"/>
      <c r="I70" s="433"/>
      <c r="J70" s="433"/>
      <c r="K70" s="433"/>
      <c r="L70" s="433"/>
      <c r="M70" s="433"/>
      <c r="N70" s="423"/>
      <c r="O70" s="435"/>
      <c r="P70" s="423"/>
      <c r="Q70" s="423"/>
      <c r="R70" s="423"/>
      <c r="S70" s="423"/>
      <c r="T70" s="435"/>
    </row>
    <row r="71" spans="1:20" x14ac:dyDescent="0.2">
      <c r="A71" s="441"/>
      <c r="B71" s="445"/>
      <c r="C71" s="445"/>
      <c r="D71" s="441"/>
      <c r="E71" s="441"/>
      <c r="F71" s="441"/>
      <c r="G71" s="441"/>
      <c r="H71" s="441"/>
      <c r="I71" s="433"/>
      <c r="J71" s="433"/>
      <c r="K71" s="433"/>
      <c r="L71" s="433"/>
      <c r="M71" s="433"/>
      <c r="N71" s="423"/>
      <c r="O71" s="435"/>
      <c r="P71" s="423"/>
      <c r="Q71" s="423"/>
      <c r="R71" s="423"/>
      <c r="S71" s="423"/>
      <c r="T71" s="435"/>
    </row>
    <row r="72" spans="1:20" x14ac:dyDescent="0.2">
      <c r="A72" s="441"/>
      <c r="B72" s="445"/>
      <c r="C72" s="445"/>
      <c r="D72" s="441"/>
      <c r="E72" s="441"/>
      <c r="F72" s="441"/>
      <c r="G72" s="441"/>
      <c r="H72" s="441"/>
      <c r="I72" s="433"/>
      <c r="J72" s="433"/>
      <c r="K72" s="433"/>
      <c r="L72" s="433"/>
      <c r="M72" s="433"/>
      <c r="N72" s="423"/>
      <c r="O72" s="435"/>
      <c r="P72" s="423"/>
      <c r="Q72" s="423"/>
      <c r="R72" s="423"/>
      <c r="S72" s="423"/>
      <c r="T72" s="435"/>
    </row>
    <row r="73" spans="1:20" x14ac:dyDescent="0.2">
      <c r="A73" s="441"/>
      <c r="B73" s="445"/>
      <c r="C73" s="445"/>
      <c r="D73" s="441"/>
      <c r="E73" s="441"/>
      <c r="F73" s="441"/>
      <c r="G73" s="441"/>
      <c r="H73" s="441"/>
      <c r="I73" s="433"/>
      <c r="J73" s="433"/>
      <c r="K73" s="433"/>
      <c r="L73" s="433"/>
      <c r="M73" s="433"/>
      <c r="N73" s="423"/>
      <c r="O73" s="435"/>
      <c r="P73" s="423"/>
      <c r="Q73" s="423"/>
      <c r="R73" s="423"/>
      <c r="S73" s="423"/>
      <c r="T73" s="435"/>
    </row>
    <row r="74" spans="1:20" x14ac:dyDescent="0.2">
      <c r="A74" s="441"/>
      <c r="B74" s="445"/>
      <c r="C74" s="445"/>
      <c r="D74" s="433"/>
      <c r="E74" s="433"/>
      <c r="F74" s="441"/>
      <c r="G74" s="441"/>
      <c r="H74" s="441"/>
      <c r="I74" s="441"/>
      <c r="J74" s="433"/>
      <c r="K74" s="433"/>
      <c r="L74" s="433"/>
      <c r="M74" s="441"/>
      <c r="N74" s="423"/>
      <c r="O74" s="435"/>
      <c r="P74" s="423"/>
      <c r="Q74" s="423"/>
      <c r="R74" s="423"/>
      <c r="S74" s="423"/>
      <c r="T74" s="435"/>
    </row>
    <row r="75" spans="1:20" ht="15" customHeight="1" x14ac:dyDescent="0.25">
      <c r="A75" s="5"/>
      <c r="B75" s="445"/>
      <c r="C75" s="445"/>
      <c r="D75" s="433"/>
      <c r="E75" s="433"/>
      <c r="F75" s="433"/>
      <c r="G75" s="433"/>
      <c r="H75" s="433"/>
      <c r="I75" s="433"/>
      <c r="J75" s="433"/>
      <c r="K75" s="433"/>
      <c r="L75" s="433"/>
      <c r="M75" s="433"/>
      <c r="N75" s="423"/>
      <c r="O75" s="435"/>
      <c r="P75" s="423"/>
      <c r="Q75" s="423"/>
      <c r="R75" s="423"/>
      <c r="S75" s="423"/>
      <c r="T75" s="435"/>
    </row>
    <row r="76" spans="1:20" x14ac:dyDescent="0.2">
      <c r="A76" s="441"/>
      <c r="B76" s="445"/>
      <c r="C76" s="445"/>
      <c r="D76" s="441"/>
      <c r="E76" s="441"/>
      <c r="F76" s="433"/>
      <c r="G76" s="433"/>
      <c r="H76" s="433"/>
      <c r="I76" s="426"/>
      <c r="J76" s="433"/>
      <c r="K76" s="433"/>
      <c r="L76" s="433"/>
      <c r="M76" s="426"/>
      <c r="N76" s="423"/>
      <c r="O76" s="435"/>
      <c r="P76" s="423"/>
      <c r="Q76" s="423"/>
      <c r="R76" s="423"/>
      <c r="S76" s="423"/>
      <c r="T76" s="435"/>
    </row>
    <row r="77" spans="1:20" x14ac:dyDescent="0.2">
      <c r="A77" s="441"/>
      <c r="B77" s="445"/>
      <c r="C77" s="445"/>
      <c r="D77" s="441"/>
      <c r="E77" s="441"/>
      <c r="F77" s="441"/>
      <c r="G77" s="441"/>
      <c r="H77" s="441"/>
      <c r="I77" s="433"/>
      <c r="J77" s="433"/>
      <c r="K77" s="433"/>
      <c r="L77" s="433"/>
      <c r="M77" s="433"/>
      <c r="N77" s="427"/>
      <c r="O77" s="435"/>
      <c r="P77" s="427"/>
      <c r="Q77" s="427"/>
      <c r="R77" s="427"/>
      <c r="S77" s="427"/>
      <c r="T77" s="435"/>
    </row>
    <row r="78" spans="1:20" x14ac:dyDescent="0.2">
      <c r="A78" s="441"/>
      <c r="B78" s="445"/>
      <c r="C78" s="445"/>
      <c r="D78" s="441"/>
      <c r="E78" s="441"/>
      <c r="F78" s="441"/>
      <c r="G78" s="441"/>
      <c r="H78" s="441"/>
      <c r="I78" s="441"/>
      <c r="J78" s="441"/>
      <c r="K78" s="441"/>
      <c r="L78" s="433"/>
      <c r="M78" s="441"/>
      <c r="N78" s="428"/>
      <c r="O78" s="435"/>
      <c r="P78" s="428"/>
      <c r="Q78" s="428"/>
      <c r="R78" s="428"/>
      <c r="S78" s="428"/>
      <c r="T78" s="435"/>
    </row>
    <row r="79" spans="1:20" ht="15" customHeight="1" x14ac:dyDescent="0.25">
      <c r="A79" s="5"/>
      <c r="B79" s="445"/>
      <c r="C79" s="445"/>
      <c r="D79" s="441"/>
      <c r="E79" s="441"/>
      <c r="F79" s="441"/>
      <c r="G79" s="441"/>
      <c r="H79" s="441"/>
      <c r="I79" s="441"/>
      <c r="J79" s="433"/>
      <c r="K79" s="433"/>
      <c r="L79" s="441"/>
      <c r="M79" s="441"/>
      <c r="N79" s="423"/>
      <c r="O79" s="435"/>
      <c r="P79" s="423"/>
      <c r="Q79" s="423"/>
      <c r="R79" s="423"/>
      <c r="S79" s="423"/>
      <c r="T79" s="435"/>
    </row>
    <row r="80" spans="1:20" x14ac:dyDescent="0.2">
      <c r="A80" s="441"/>
      <c r="B80" s="445"/>
      <c r="C80" s="445"/>
      <c r="D80" s="429"/>
      <c r="E80" s="429"/>
      <c r="F80" s="441"/>
      <c r="G80" s="441"/>
      <c r="H80" s="441"/>
      <c r="I80" s="429"/>
      <c r="J80" s="426"/>
      <c r="K80" s="426"/>
      <c r="L80" s="433"/>
      <c r="M80" s="429"/>
      <c r="N80" s="430"/>
      <c r="O80" s="435"/>
      <c r="P80" s="430"/>
      <c r="Q80" s="430"/>
      <c r="R80" s="430"/>
      <c r="S80" s="430"/>
      <c r="T80" s="435"/>
    </row>
    <row r="81" spans="1:20" x14ac:dyDescent="0.2">
      <c r="A81" s="441"/>
      <c r="B81" s="445"/>
      <c r="C81" s="445"/>
      <c r="D81" s="441"/>
      <c r="E81" s="441"/>
      <c r="F81" s="429"/>
      <c r="G81" s="429"/>
      <c r="H81" s="429"/>
      <c r="J81" s="433"/>
      <c r="K81" s="433"/>
      <c r="L81" s="426"/>
      <c r="N81" s="431"/>
      <c r="O81" s="435"/>
      <c r="P81" s="431"/>
      <c r="Q81" s="431"/>
      <c r="R81" s="431"/>
      <c r="S81" s="431"/>
      <c r="T81" s="435"/>
    </row>
    <row r="82" spans="1:20" ht="15" customHeight="1" x14ac:dyDescent="0.25">
      <c r="A82" s="5"/>
      <c r="B82" s="440"/>
      <c r="C82" s="440"/>
      <c r="D82" s="441"/>
      <c r="E82" s="441"/>
      <c r="F82" s="441"/>
      <c r="G82" s="441"/>
      <c r="H82" s="441"/>
      <c r="I82" s="433"/>
      <c r="J82" s="441"/>
      <c r="K82" s="441"/>
      <c r="L82" s="433"/>
      <c r="M82" s="433"/>
      <c r="N82" s="423"/>
      <c r="O82" s="435"/>
      <c r="P82" s="423"/>
      <c r="Q82" s="423"/>
      <c r="R82" s="423"/>
      <c r="S82" s="423"/>
      <c r="T82" s="435"/>
    </row>
    <row r="83" spans="1:20" x14ac:dyDescent="0.2">
      <c r="A83" s="445"/>
      <c r="B83" s="445"/>
      <c r="C83" s="445"/>
      <c r="D83" s="441"/>
      <c r="E83" s="441"/>
      <c r="F83" s="441"/>
      <c r="G83" s="441"/>
      <c r="H83" s="441"/>
      <c r="I83" s="441"/>
      <c r="J83" s="441"/>
      <c r="K83" s="441"/>
      <c r="L83" s="441"/>
      <c r="M83" s="441"/>
      <c r="N83" s="432"/>
      <c r="O83" s="435"/>
      <c r="P83" s="432"/>
      <c r="Q83" s="432"/>
      <c r="R83" s="432"/>
      <c r="S83" s="432"/>
      <c r="T83" s="435"/>
    </row>
    <row r="84" spans="1:20" x14ac:dyDescent="0.2">
      <c r="A84" s="441"/>
      <c r="B84" s="442"/>
      <c r="C84" s="442"/>
      <c r="D84" s="441"/>
      <c r="E84" s="441"/>
      <c r="F84" s="441"/>
      <c r="G84" s="441"/>
      <c r="H84" s="441"/>
      <c r="I84" s="433"/>
      <c r="J84" s="429"/>
      <c r="K84" s="429"/>
      <c r="L84" s="441"/>
      <c r="M84" s="433"/>
      <c r="N84" s="434"/>
      <c r="O84" s="435"/>
      <c r="P84" s="434"/>
      <c r="Q84" s="434"/>
      <c r="R84" s="434"/>
      <c r="S84" s="434"/>
      <c r="T84" s="435"/>
    </row>
    <row r="85" spans="1:20" x14ac:dyDescent="0.2">
      <c r="A85" s="7"/>
      <c r="B85" s="442"/>
      <c r="C85" s="442"/>
      <c r="D85" s="441"/>
      <c r="E85" s="441"/>
      <c r="F85" s="441"/>
      <c r="G85" s="441"/>
      <c r="H85" s="441"/>
      <c r="I85" s="433"/>
      <c r="L85" s="429"/>
      <c r="M85" s="433"/>
      <c r="N85" s="434"/>
      <c r="O85" s="435"/>
      <c r="P85" s="434"/>
      <c r="Q85" s="434"/>
      <c r="R85" s="434"/>
      <c r="S85" s="434"/>
      <c r="T85" s="435"/>
    </row>
    <row r="86" spans="1:20" x14ac:dyDescent="0.2">
      <c r="A86" s="1"/>
      <c r="B86" s="442"/>
      <c r="C86" s="442"/>
      <c r="D86" s="441"/>
      <c r="E86" s="441"/>
      <c r="F86" s="441"/>
      <c r="G86" s="441"/>
      <c r="H86" s="441"/>
      <c r="I86" s="433"/>
      <c r="J86" s="433"/>
      <c r="K86" s="433"/>
      <c r="M86" s="433"/>
      <c r="N86" s="434"/>
      <c r="O86" s="435"/>
      <c r="P86" s="434"/>
      <c r="Q86" s="434"/>
      <c r="R86" s="434"/>
      <c r="S86" s="434"/>
      <c r="T86" s="435"/>
    </row>
    <row r="87" spans="1:20" x14ac:dyDescent="0.2">
      <c r="A87" s="1" t="s">
        <v>206</v>
      </c>
      <c r="B87" s="442"/>
      <c r="C87" s="442"/>
      <c r="D87" s="441"/>
      <c r="E87" s="441"/>
      <c r="F87" s="441"/>
      <c r="G87" s="441"/>
      <c r="H87" s="441"/>
      <c r="I87" s="433"/>
      <c r="J87" s="441"/>
      <c r="K87" s="441"/>
      <c r="L87" s="433"/>
      <c r="M87" s="433"/>
      <c r="N87" s="434"/>
      <c r="O87" s="435"/>
      <c r="P87" s="434"/>
      <c r="Q87" s="434"/>
      <c r="R87" s="434"/>
      <c r="S87" s="434"/>
      <c r="T87" s="435"/>
    </row>
    <row r="88" spans="1:20" x14ac:dyDescent="0.2">
      <c r="A88" s="441"/>
      <c r="B88" s="445"/>
      <c r="C88" s="445"/>
      <c r="D88" s="441"/>
      <c r="E88" s="441"/>
      <c r="F88" s="441"/>
      <c r="G88" s="441"/>
      <c r="H88" s="441"/>
      <c r="I88" s="433"/>
      <c r="J88" s="433"/>
      <c r="K88" s="433"/>
      <c r="L88" s="441"/>
      <c r="M88" s="433"/>
      <c r="N88" s="434"/>
      <c r="O88" s="436"/>
      <c r="P88" s="434"/>
      <c r="Q88" s="434"/>
      <c r="R88" s="434"/>
      <c r="S88" s="434"/>
      <c r="T88" s="436"/>
    </row>
    <row r="89" spans="1:20" x14ac:dyDescent="0.2">
      <c r="A89" s="441"/>
      <c r="B89" s="445"/>
      <c r="C89" s="445"/>
      <c r="D89" s="441"/>
      <c r="E89" s="441"/>
      <c r="F89" s="441"/>
      <c r="G89" s="441"/>
      <c r="H89" s="441"/>
      <c r="I89" s="433"/>
      <c r="J89" s="433"/>
      <c r="K89" s="433"/>
      <c r="L89" s="433"/>
      <c r="M89" s="433"/>
      <c r="N89" s="434"/>
      <c r="O89" s="436"/>
      <c r="P89" s="434"/>
      <c r="Q89" s="434"/>
      <c r="R89" s="434"/>
      <c r="S89" s="434"/>
      <c r="T89" s="436"/>
    </row>
    <row r="90" spans="1:20" x14ac:dyDescent="0.2">
      <c r="A90" s="441" t="s">
        <v>207</v>
      </c>
      <c r="B90" s="446"/>
      <c r="C90" s="446"/>
      <c r="D90" s="447"/>
      <c r="E90" s="447"/>
      <c r="F90" s="441"/>
      <c r="G90" s="441"/>
      <c r="H90" s="441"/>
      <c r="I90" s="433"/>
      <c r="J90" s="433"/>
      <c r="K90" s="433"/>
      <c r="L90" s="433"/>
      <c r="M90" s="433"/>
      <c r="N90" s="434"/>
      <c r="O90" s="437"/>
      <c r="P90" s="434"/>
      <c r="Q90" s="434"/>
      <c r="R90" s="434"/>
      <c r="S90" s="434"/>
      <c r="T90" s="437"/>
    </row>
    <row r="91" spans="1:20" x14ac:dyDescent="0.2">
      <c r="A91" s="448"/>
      <c r="B91" s="448"/>
      <c r="C91" s="448"/>
      <c r="D91" s="439"/>
      <c r="E91" s="439"/>
      <c r="F91" s="447"/>
      <c r="G91" s="447"/>
      <c r="H91" s="447"/>
      <c r="I91" s="438"/>
      <c r="J91" s="433"/>
      <c r="K91" s="433"/>
      <c r="L91" s="433"/>
      <c r="M91" s="438"/>
      <c r="N91" s="439"/>
      <c r="O91" s="439"/>
      <c r="P91" s="439"/>
      <c r="Q91" s="439"/>
      <c r="R91" s="439"/>
      <c r="S91" s="439"/>
      <c r="T91" s="439"/>
    </row>
    <row r="92" spans="1:20" x14ac:dyDescent="0.2">
      <c r="A92" s="448"/>
      <c r="B92" s="448"/>
      <c r="C92" s="448"/>
      <c r="D92" s="439"/>
      <c r="E92" s="439"/>
      <c r="F92" s="439"/>
      <c r="G92" s="439"/>
      <c r="H92" s="439"/>
      <c r="I92" s="439"/>
      <c r="J92" s="433"/>
      <c r="K92" s="433"/>
      <c r="L92" s="433"/>
      <c r="M92" s="439"/>
      <c r="N92" s="439"/>
      <c r="O92" s="439"/>
      <c r="P92" s="439"/>
      <c r="Q92" s="439"/>
      <c r="R92" s="439"/>
      <c r="S92" s="439"/>
      <c r="T92" s="439"/>
    </row>
    <row r="93" spans="1:20" x14ac:dyDescent="0.2">
      <c r="A93" s="448"/>
      <c r="B93" s="448"/>
      <c r="C93" s="448"/>
      <c r="D93" s="439"/>
      <c r="E93" s="439"/>
      <c r="F93" s="439"/>
      <c r="G93" s="439"/>
      <c r="H93" s="439"/>
      <c r="I93" s="439"/>
      <c r="J93" s="433"/>
      <c r="K93" s="433"/>
      <c r="L93" s="433"/>
      <c r="M93" s="439"/>
      <c r="N93" s="439"/>
      <c r="O93" s="439"/>
      <c r="P93" s="439"/>
      <c r="Q93" s="439"/>
      <c r="R93" s="439"/>
      <c r="S93" s="439"/>
      <c r="T93" s="439"/>
    </row>
    <row r="94" spans="1:20" x14ac:dyDescent="0.2">
      <c r="A94" s="448"/>
      <c r="B94" s="448"/>
      <c r="C94" s="448"/>
      <c r="D94" s="439"/>
      <c r="E94" s="439"/>
      <c r="F94" s="439"/>
      <c r="G94" s="439"/>
      <c r="H94" s="439"/>
      <c r="I94" s="439"/>
      <c r="J94" s="433"/>
      <c r="K94" s="433"/>
      <c r="L94" s="433"/>
      <c r="M94" s="439"/>
      <c r="N94" s="439"/>
      <c r="O94" s="439"/>
      <c r="P94" s="439"/>
      <c r="Q94" s="439"/>
      <c r="R94" s="439"/>
      <c r="S94" s="439"/>
      <c r="T94" s="439"/>
    </row>
    <row r="95" spans="1:20" x14ac:dyDescent="0.2">
      <c r="A95" s="448"/>
      <c r="B95" s="448"/>
      <c r="C95" s="448"/>
      <c r="D95" s="439"/>
      <c r="E95" s="439"/>
      <c r="F95" s="439"/>
      <c r="G95" s="439"/>
      <c r="H95" s="439"/>
      <c r="I95" s="439"/>
      <c r="J95" s="438"/>
      <c r="K95" s="438"/>
      <c r="L95" s="433"/>
      <c r="M95" s="439"/>
      <c r="N95" s="439"/>
      <c r="O95" s="439"/>
      <c r="P95" s="439"/>
      <c r="Q95" s="439"/>
      <c r="R95" s="439"/>
      <c r="S95" s="439"/>
      <c r="T95" s="439"/>
    </row>
    <row r="96" spans="1:20" x14ac:dyDescent="0.2">
      <c r="A96" s="448"/>
      <c r="B96" s="448"/>
      <c r="C96" s="448"/>
      <c r="D96" s="439"/>
      <c r="E96" s="439"/>
      <c r="F96" s="439"/>
      <c r="G96" s="439"/>
      <c r="H96" s="439"/>
      <c r="I96" s="439"/>
      <c r="J96" s="439"/>
      <c r="K96" s="439"/>
      <c r="L96" s="438"/>
      <c r="M96" s="439"/>
      <c r="N96" s="439"/>
      <c r="O96" s="439"/>
      <c r="P96" s="439"/>
      <c r="Q96" s="439"/>
      <c r="R96" s="439"/>
      <c r="S96" s="439"/>
      <c r="T96" s="439"/>
    </row>
    <row r="97" spans="1:20" x14ac:dyDescent="0.2">
      <c r="A97" s="448"/>
      <c r="B97" s="449"/>
      <c r="C97" s="449"/>
      <c r="D97" s="450"/>
      <c r="E97" s="450"/>
      <c r="F97" s="439"/>
      <c r="G97" s="439"/>
      <c r="H97" s="439"/>
      <c r="I97" s="439"/>
      <c r="J97" s="439"/>
      <c r="K97" s="439"/>
      <c r="L97" s="439"/>
      <c r="M97" s="439"/>
      <c r="N97" s="439"/>
      <c r="O97" s="439"/>
      <c r="P97" s="439"/>
      <c r="Q97" s="439"/>
      <c r="R97" s="439"/>
      <c r="S97" s="439"/>
      <c r="T97" s="439"/>
    </row>
    <row r="98" spans="1:20" x14ac:dyDescent="0.2">
      <c r="A98" s="450"/>
      <c r="B98" s="451"/>
      <c r="C98" s="451"/>
      <c r="D98" s="450"/>
      <c r="E98" s="450"/>
      <c r="F98" s="450"/>
      <c r="G98" s="450"/>
      <c r="H98" s="450"/>
      <c r="I98" s="443"/>
      <c r="J98" s="439"/>
      <c r="K98" s="439"/>
      <c r="L98" s="439"/>
      <c r="M98" s="443"/>
      <c r="N98" s="444"/>
      <c r="O98" s="444"/>
      <c r="P98" s="444"/>
      <c r="Q98" s="444"/>
      <c r="R98" s="444"/>
      <c r="S98" s="444"/>
      <c r="T98" s="444"/>
    </row>
    <row r="99" spans="1:20" x14ac:dyDescent="0.2">
      <c r="A99" s="450"/>
      <c r="B99" s="451"/>
      <c r="C99" s="451"/>
      <c r="D99" s="450"/>
      <c r="E99" s="450"/>
      <c r="F99" s="450"/>
      <c r="G99" s="450"/>
      <c r="H99" s="450"/>
      <c r="I99" s="443"/>
      <c r="J99" s="439"/>
      <c r="K99" s="439"/>
      <c r="L99" s="439"/>
      <c r="M99" s="443"/>
      <c r="N99" s="444"/>
      <c r="O99" s="444"/>
      <c r="P99" s="444"/>
      <c r="Q99" s="444"/>
      <c r="R99" s="444"/>
      <c r="S99" s="444"/>
      <c r="T99" s="444"/>
    </row>
    <row r="100" spans="1:20" x14ac:dyDescent="0.2">
      <c r="A100" s="450"/>
      <c r="F100" s="450"/>
      <c r="G100" s="450"/>
      <c r="H100" s="450"/>
      <c r="I100" s="443"/>
      <c r="J100" s="439"/>
      <c r="K100" s="439"/>
      <c r="L100" s="439"/>
      <c r="M100" s="443"/>
      <c r="N100" s="444"/>
      <c r="O100" s="444"/>
      <c r="P100" s="444"/>
      <c r="Q100" s="444"/>
      <c r="R100" s="444"/>
      <c r="S100" s="444"/>
      <c r="T100" s="444"/>
    </row>
    <row r="101" spans="1:20" x14ac:dyDescent="0.2">
      <c r="J101" s="439"/>
      <c r="K101" s="439"/>
      <c r="L101" s="439"/>
    </row>
    <row r="102" spans="1:20" x14ac:dyDescent="0.2">
      <c r="J102" s="443"/>
      <c r="K102" s="443"/>
      <c r="L102" s="439"/>
    </row>
    <row r="103" spans="1:20" x14ac:dyDescent="0.2">
      <c r="J103" s="443"/>
      <c r="K103" s="443"/>
      <c r="L103" s="443"/>
    </row>
    <row r="104" spans="1:20" x14ac:dyDescent="0.2">
      <c r="J104" s="443"/>
      <c r="K104" s="443"/>
      <c r="L104" s="443"/>
    </row>
    <row r="105" spans="1:20" x14ac:dyDescent="0.2">
      <c r="L105" s="443"/>
    </row>
  </sheetData>
  <mergeCells count="12">
    <mergeCell ref="B26:L26"/>
    <mergeCell ref="A2:B2"/>
    <mergeCell ref="A27:M27"/>
    <mergeCell ref="X4:X5"/>
    <mergeCell ref="A6:M6"/>
    <mergeCell ref="A16:M16"/>
    <mergeCell ref="Y4:Y5"/>
    <mergeCell ref="Z4:Z5"/>
    <mergeCell ref="A1:B1"/>
    <mergeCell ref="A7:M7"/>
    <mergeCell ref="D5:K5"/>
    <mergeCell ref="D4:K4"/>
  </mergeCells>
  <printOptions horizontalCentered="1"/>
  <pageMargins left="0.19685039370078741" right="0.27559055118110237" top="0.59055118110236227" bottom="0.35433070866141742" header="0.19685039370078741" footer="0"/>
  <pageSetup paperSize="9" scale="69" orientation="landscape" r:id="rId1"/>
  <headerFooter alignWithMargins="0">
    <oddHeader>&amp;L
Arbeitskreis Bauen, Energie, Technik&amp;C&amp;P&amp;R&amp;G</oddHeader>
    <oddFooter>&amp;R&amp;F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U85"/>
  <sheetViews>
    <sheetView showGridLines="0" showRowColHeaders="0" showZeros="0" view="pageLayout" topLeftCell="A8" zoomScaleNormal="98" zoomScaleSheetLayoutView="100" workbookViewId="0">
      <selection activeCell="C17" sqref="C17"/>
    </sheetView>
  </sheetViews>
  <sheetFormatPr baseColWidth="10" defaultColWidth="11.42578125" defaultRowHeight="12.75" x14ac:dyDescent="0.2"/>
  <cols>
    <col min="1" max="1" width="5.7109375" style="453" customWidth="1"/>
    <col min="2" max="2" width="33" style="453" customWidth="1"/>
    <col min="3" max="3" width="7.7109375" style="453" customWidth="1"/>
    <col min="4" max="4" width="9.42578125" style="453" customWidth="1"/>
    <col min="5" max="5" width="8.28515625" style="453" customWidth="1"/>
    <col min="6" max="6" width="9.28515625" style="453" customWidth="1"/>
    <col min="7" max="7" width="8.28515625" style="453" customWidth="1"/>
    <col min="8" max="8" width="8.7109375" style="453" customWidth="1"/>
    <col min="9" max="9" width="12.5703125" style="453" customWidth="1"/>
    <col min="10" max="10" width="7" style="453" customWidth="1"/>
    <col min="11" max="11" width="15.7109375" style="453" customWidth="1"/>
    <col min="12" max="12" width="8.5703125" style="453" customWidth="1"/>
    <col min="13" max="13" width="12.85546875" style="453" customWidth="1"/>
    <col min="14" max="14" width="8.7109375" style="453" customWidth="1"/>
    <col min="15" max="15" width="12.85546875" style="453" customWidth="1"/>
    <col min="16" max="16" width="3.85546875" style="453" customWidth="1"/>
    <col min="17" max="18" width="4" style="453" bestFit="1" customWidth="1"/>
    <col min="19" max="19" width="5.5703125" style="453" customWidth="1"/>
    <col min="20" max="20" width="4.140625" style="453" customWidth="1"/>
    <col min="21" max="21" width="11.42578125" style="453" customWidth="1"/>
    <col min="22" max="22" width="12" style="453" customWidth="1"/>
    <col min="23" max="23" width="11.42578125" style="453" customWidth="1"/>
    <col min="24" max="16384" width="11.42578125" style="453"/>
  </cols>
  <sheetData>
    <row r="1" spans="1:15" ht="18" customHeight="1" x14ac:dyDescent="0.25">
      <c r="B1" s="474"/>
      <c r="C1" s="452"/>
      <c r="D1" s="452"/>
      <c r="E1" s="452"/>
      <c r="F1" s="452"/>
      <c r="G1" s="452"/>
      <c r="H1" s="452"/>
      <c r="I1" s="452"/>
      <c r="J1" s="452"/>
      <c r="K1" s="452"/>
    </row>
    <row r="2" spans="1:15" ht="15" customHeight="1" x14ac:dyDescent="0.2">
      <c r="A2" s="454"/>
      <c r="B2" s="475"/>
      <c r="C2" s="101"/>
      <c r="D2" s="101"/>
      <c r="E2" s="101"/>
      <c r="F2" s="101"/>
      <c r="G2" s="454"/>
      <c r="H2" s="454"/>
      <c r="I2" s="454"/>
      <c r="J2" s="454"/>
      <c r="K2" s="454"/>
      <c r="L2" s="454"/>
      <c r="M2" s="454"/>
      <c r="N2" s="454"/>
      <c r="O2" s="454"/>
    </row>
    <row r="3" spans="1:15" ht="15" customHeight="1" x14ac:dyDescent="0.2">
      <c r="B3" s="474"/>
      <c r="C3" s="120"/>
      <c r="D3" s="120"/>
      <c r="E3" s="120"/>
      <c r="F3" s="120"/>
    </row>
    <row r="4" spans="1:15" x14ac:dyDescent="0.2">
      <c r="B4" s="468" t="s">
        <v>1</v>
      </c>
      <c r="C4" s="470">
        <f>Übersicht!B8</f>
        <v>0</v>
      </c>
    </row>
    <row r="5" spans="1:15" x14ac:dyDescent="0.2">
      <c r="B5" s="468" t="s">
        <v>2</v>
      </c>
      <c r="C5" s="470" t="str">
        <f>Übersicht!B9</f>
        <v>Betrieb Name, Ort</v>
      </c>
    </row>
    <row r="6" spans="1:15" x14ac:dyDescent="0.2">
      <c r="B6" s="468"/>
      <c r="C6" s="470"/>
    </row>
    <row r="7" spans="1:15" ht="15.75" customHeight="1" x14ac:dyDescent="0.25">
      <c r="B7" s="672" t="s">
        <v>208</v>
      </c>
      <c r="C7" s="560"/>
      <c r="D7" s="560"/>
    </row>
    <row r="9" spans="1:15" ht="12.75" customHeight="1" thickBot="1" x14ac:dyDescent="0.3">
      <c r="A9" s="671" t="s">
        <v>191</v>
      </c>
      <c r="B9" s="668"/>
      <c r="C9" s="668"/>
      <c r="D9" s="668"/>
      <c r="E9" s="668"/>
      <c r="F9" s="668"/>
      <c r="G9" s="668"/>
      <c r="H9" s="668"/>
      <c r="I9" s="668"/>
      <c r="J9" s="668"/>
      <c r="K9" s="668"/>
      <c r="L9" s="668"/>
      <c r="M9" s="668"/>
    </row>
    <row r="10" spans="1:15" ht="91.5" customHeight="1" x14ac:dyDescent="0.2">
      <c r="A10" s="36" t="s">
        <v>174</v>
      </c>
      <c r="B10" s="35" t="s">
        <v>175</v>
      </c>
      <c r="C10" s="35" t="s">
        <v>176</v>
      </c>
      <c r="D10" s="35" t="s">
        <v>180</v>
      </c>
      <c r="E10" s="35" t="s">
        <v>181</v>
      </c>
      <c r="F10" s="35" t="s">
        <v>192</v>
      </c>
      <c r="G10" s="39" t="s">
        <v>209</v>
      </c>
      <c r="H10" s="39"/>
      <c r="I10" s="39"/>
      <c r="J10" s="35" t="s">
        <v>210</v>
      </c>
      <c r="K10" s="35" t="s">
        <v>183</v>
      </c>
      <c r="L10" s="35" t="s">
        <v>211</v>
      </c>
      <c r="M10" s="35" t="s">
        <v>212</v>
      </c>
      <c r="N10" s="35" t="s">
        <v>185</v>
      </c>
      <c r="O10" s="40" t="s">
        <v>186</v>
      </c>
    </row>
    <row r="11" spans="1:15" x14ac:dyDescent="0.2">
      <c r="A11" s="161"/>
      <c r="B11" s="157"/>
      <c r="C11" s="157"/>
      <c r="D11" s="157" t="s">
        <v>188</v>
      </c>
      <c r="E11" s="157" t="s">
        <v>203</v>
      </c>
      <c r="F11" s="157" t="s">
        <v>188</v>
      </c>
      <c r="G11" s="162" t="s">
        <v>188</v>
      </c>
      <c r="H11" s="312"/>
      <c r="I11" s="312"/>
      <c r="J11" s="157" t="s">
        <v>203</v>
      </c>
      <c r="K11" s="157" t="s">
        <v>188</v>
      </c>
      <c r="L11" s="157" t="s">
        <v>188</v>
      </c>
      <c r="M11" s="157" t="s">
        <v>188</v>
      </c>
      <c r="N11" s="157" t="s">
        <v>188</v>
      </c>
      <c r="O11" s="163" t="s">
        <v>149</v>
      </c>
    </row>
    <row r="12" spans="1:15" x14ac:dyDescent="0.2">
      <c r="A12" s="148">
        <v>1</v>
      </c>
      <c r="B12" s="307"/>
      <c r="C12" s="164"/>
      <c r="D12" s="166"/>
      <c r="E12" s="166"/>
      <c r="F12" s="165"/>
      <c r="G12" s="166"/>
      <c r="H12" s="312"/>
      <c r="I12" s="312"/>
      <c r="J12" s="166"/>
      <c r="K12" s="166"/>
      <c r="L12" s="319">
        <f>IF(E12="x",Übersicht!$H$12/1000,0)</f>
        <v>0</v>
      </c>
      <c r="M12" s="319">
        <f>IF(E12="x",0.2,0)</f>
        <v>0</v>
      </c>
      <c r="N12" s="167">
        <f>IF(J12="x",D12-0.2-L12-K12,D12-L12-K12)</f>
        <v>0</v>
      </c>
      <c r="O12" s="168">
        <f>C12*F12*G12*N12</f>
        <v>0</v>
      </c>
    </row>
    <row r="13" spans="1:15" x14ac:dyDescent="0.2">
      <c r="A13" s="148">
        <v>2</v>
      </c>
      <c r="B13" s="307"/>
      <c r="C13" s="164"/>
      <c r="D13" s="165"/>
      <c r="E13" s="165"/>
      <c r="F13" s="165"/>
      <c r="G13" s="166"/>
      <c r="H13" s="312"/>
      <c r="I13" s="312"/>
      <c r="J13" s="165"/>
      <c r="K13" s="165"/>
      <c r="L13" s="319">
        <f>IF(E13="x",Übersicht!$H$12/1000,0)</f>
        <v>0</v>
      </c>
      <c r="M13" s="319">
        <f>IF(E13="x",0.2,0)</f>
        <v>0</v>
      </c>
      <c r="N13" s="167">
        <f>IF(J13="x",D13-0.2-L13-K13,D13-L13-K13)</f>
        <v>0</v>
      </c>
      <c r="O13" s="168">
        <f>C13*F13*G13*N13</f>
        <v>0</v>
      </c>
    </row>
    <row r="14" spans="1:15" x14ac:dyDescent="0.2">
      <c r="A14" s="148">
        <v>3</v>
      </c>
      <c r="B14" s="307"/>
      <c r="C14" s="164"/>
      <c r="D14" s="165"/>
      <c r="E14" s="165"/>
      <c r="F14" s="165"/>
      <c r="G14" s="166"/>
      <c r="H14" s="312"/>
      <c r="I14" s="312"/>
      <c r="J14" s="165"/>
      <c r="K14" s="165"/>
      <c r="L14" s="319">
        <f>IF(E14="x",Übersicht!$H$12/1000,0)</f>
        <v>0</v>
      </c>
      <c r="M14" s="319">
        <f>IF(E14="x",0.2,0)</f>
        <v>0</v>
      </c>
      <c r="N14" s="167">
        <f>IF(J14="x",D14-0.2-L14-K14,D14-L14-K14)</f>
        <v>0</v>
      </c>
      <c r="O14" s="168">
        <f>C14*F14*G14*N14</f>
        <v>0</v>
      </c>
    </row>
    <row r="15" spans="1:15" x14ac:dyDescent="0.2">
      <c r="A15" s="148">
        <v>4</v>
      </c>
      <c r="B15" s="307"/>
      <c r="C15" s="164"/>
      <c r="D15" s="165"/>
      <c r="E15" s="165"/>
      <c r="F15" s="165"/>
      <c r="G15" s="166"/>
      <c r="H15" s="312"/>
      <c r="I15" s="312"/>
      <c r="J15" s="165"/>
      <c r="K15" s="165"/>
      <c r="L15" s="319">
        <f>IF(E15="x",Übersicht!$H$12/1000,0)</f>
        <v>0</v>
      </c>
      <c r="M15" s="319">
        <f>IF(E15="x",0.2,0)</f>
        <v>0</v>
      </c>
      <c r="N15" s="167">
        <f>IF(J15="x",D15-0.2-L15-K15,D15-L15-K15)</f>
        <v>0</v>
      </c>
      <c r="O15" s="168">
        <f>C15*F15*G15*N15</f>
        <v>0</v>
      </c>
    </row>
    <row r="16" spans="1:15" x14ac:dyDescent="0.2">
      <c r="A16" s="148">
        <v>5</v>
      </c>
      <c r="B16" s="307"/>
      <c r="C16" s="317"/>
      <c r="D16" s="316"/>
      <c r="E16" s="316"/>
      <c r="F16" s="316"/>
      <c r="G16" s="312"/>
      <c r="H16" s="312"/>
      <c r="I16" s="312"/>
      <c r="J16" s="316"/>
      <c r="K16" s="316"/>
      <c r="L16" s="316"/>
      <c r="M16" s="316"/>
      <c r="N16" s="312"/>
      <c r="O16" s="169"/>
    </row>
    <row r="17" spans="1:21" ht="13.5" customHeight="1" thickBot="1" x14ac:dyDescent="0.25">
      <c r="A17" s="37">
        <v>8</v>
      </c>
      <c r="B17" s="308"/>
      <c r="C17" s="314"/>
      <c r="D17" s="315"/>
      <c r="E17" s="315"/>
      <c r="F17" s="313"/>
      <c r="G17" s="313"/>
      <c r="H17" s="313"/>
      <c r="I17" s="313"/>
      <c r="J17" s="315"/>
      <c r="K17" s="315"/>
      <c r="L17" s="315"/>
      <c r="M17" s="315"/>
      <c r="N17" s="315"/>
      <c r="O17" s="170">
        <v>0</v>
      </c>
      <c r="P17" s="416" t="s">
        <v>6</v>
      </c>
    </row>
    <row r="18" spans="1:21" ht="13.5" customHeight="1" thickBot="1" x14ac:dyDescent="0.25">
      <c r="A18" s="38"/>
      <c r="B18" s="172" t="s">
        <v>190</v>
      </c>
      <c r="K18" s="264"/>
      <c r="N18" s="478" t="s">
        <v>213</v>
      </c>
      <c r="O18" s="328">
        <f>SUM(O12:O17)</f>
        <v>0</v>
      </c>
    </row>
    <row r="19" spans="1:21" ht="15.75" customHeight="1" thickBot="1" x14ac:dyDescent="0.3">
      <c r="A19" s="667" t="s">
        <v>197</v>
      </c>
      <c r="B19" s="668"/>
      <c r="C19" s="668"/>
      <c r="D19" s="668"/>
      <c r="E19" s="668"/>
      <c r="F19" s="668"/>
      <c r="G19" s="668"/>
      <c r="H19" s="668"/>
      <c r="I19" s="668"/>
      <c r="J19" s="668"/>
      <c r="K19" s="668"/>
      <c r="L19" s="668"/>
      <c r="M19" s="668"/>
    </row>
    <row r="20" spans="1:21" ht="91.5" customHeight="1" x14ac:dyDescent="0.2">
      <c r="A20" s="36" t="s">
        <v>174</v>
      </c>
      <c r="B20" s="35" t="s">
        <v>175</v>
      </c>
      <c r="C20" s="35" t="s">
        <v>176</v>
      </c>
      <c r="D20" s="35" t="s">
        <v>180</v>
      </c>
      <c r="E20" s="35" t="s">
        <v>181</v>
      </c>
      <c r="F20" s="35" t="s">
        <v>198</v>
      </c>
      <c r="G20" s="35" t="s">
        <v>199</v>
      </c>
      <c r="H20" s="39" t="s">
        <v>200</v>
      </c>
      <c r="I20" s="39" t="s">
        <v>201</v>
      </c>
      <c r="J20" s="39"/>
      <c r="K20" s="35" t="s">
        <v>183</v>
      </c>
      <c r="L20" s="35" t="s">
        <v>211</v>
      </c>
      <c r="M20" s="35" t="s">
        <v>202</v>
      </c>
      <c r="N20" s="35" t="s">
        <v>185</v>
      </c>
      <c r="O20" s="40" t="s">
        <v>186</v>
      </c>
    </row>
    <row r="21" spans="1:21" x14ac:dyDescent="0.2">
      <c r="A21" s="161"/>
      <c r="B21" s="157"/>
      <c r="C21" s="157"/>
      <c r="D21" s="157" t="s">
        <v>188</v>
      </c>
      <c r="E21" s="157" t="s">
        <v>203</v>
      </c>
      <c r="F21" s="157" t="s">
        <v>188</v>
      </c>
      <c r="G21" s="157" t="s">
        <v>188</v>
      </c>
      <c r="H21" s="162" t="s">
        <v>188</v>
      </c>
      <c r="I21" s="162" t="s">
        <v>188</v>
      </c>
      <c r="J21" s="312"/>
      <c r="K21" s="157" t="s">
        <v>188</v>
      </c>
      <c r="L21" s="157" t="s">
        <v>188</v>
      </c>
      <c r="M21" s="157" t="s">
        <v>188</v>
      </c>
      <c r="N21" s="157" t="s">
        <v>188</v>
      </c>
      <c r="O21" s="163" t="s">
        <v>149</v>
      </c>
    </row>
    <row r="22" spans="1:21" x14ac:dyDescent="0.2">
      <c r="A22" s="148">
        <v>1</v>
      </c>
      <c r="B22" s="307"/>
      <c r="C22" s="164"/>
      <c r="D22" s="166"/>
      <c r="E22" s="166"/>
      <c r="F22" s="165"/>
      <c r="G22" s="165"/>
      <c r="H22" s="166"/>
      <c r="I22" s="166"/>
      <c r="J22" s="312"/>
      <c r="K22" s="166"/>
      <c r="L22" s="319">
        <f>IF(E22="x",Übersicht!$H$12/1000,0)</f>
        <v>0</v>
      </c>
      <c r="M22" s="319">
        <f>IF(E22="x",0.5,0)</f>
        <v>0</v>
      </c>
      <c r="N22" s="167">
        <f>IF(E22="x",D22-M22-L22-K22,D22-L22-K22)</f>
        <v>0</v>
      </c>
      <c r="O22" s="168">
        <f>C22*N22/3*((F22*H22+G22*I22)+(SQRT(F22*G22*H22*I22)))</f>
        <v>0</v>
      </c>
    </row>
    <row r="23" spans="1:21" ht="13.5" customHeight="1" thickBot="1" x14ac:dyDescent="0.25">
      <c r="A23" s="37">
        <v>8</v>
      </c>
      <c r="B23" s="308"/>
      <c r="C23" s="314"/>
      <c r="D23" s="315"/>
      <c r="E23" s="315"/>
      <c r="F23" s="313"/>
      <c r="G23" s="313"/>
      <c r="H23" s="313"/>
      <c r="I23" s="313"/>
      <c r="J23" s="342"/>
      <c r="K23" s="343"/>
      <c r="L23" s="315"/>
      <c r="M23" s="315"/>
      <c r="N23" s="315"/>
      <c r="O23" s="170">
        <v>0</v>
      </c>
      <c r="P23" s="416"/>
    </row>
    <row r="24" spans="1:21" ht="15" customHeight="1" thickBot="1" x14ac:dyDescent="0.25">
      <c r="B24" s="74" t="s">
        <v>204</v>
      </c>
      <c r="J24" s="264"/>
      <c r="K24" s="264"/>
      <c r="M24" s="264"/>
      <c r="N24" s="478" t="s">
        <v>205</v>
      </c>
      <c r="O24" s="328">
        <f>SUM(O22:O23)</f>
        <v>0</v>
      </c>
    </row>
    <row r="25" spans="1:21" ht="13.5" customHeight="1" thickBot="1" x14ac:dyDescent="0.25">
      <c r="N25" s="478"/>
      <c r="O25" s="310"/>
    </row>
    <row r="26" spans="1:21" ht="15.75" customHeight="1" thickBot="1" x14ac:dyDescent="0.3">
      <c r="A26" s="477" t="s">
        <v>173</v>
      </c>
      <c r="B26" s="479"/>
      <c r="F26" s="479"/>
      <c r="G26" s="479"/>
      <c r="H26" s="479"/>
      <c r="I26" s="479"/>
      <c r="J26" s="479"/>
      <c r="K26" s="669" t="s">
        <v>214</v>
      </c>
      <c r="L26" s="654"/>
      <c r="M26" s="654"/>
      <c r="N26" s="670"/>
      <c r="O26" s="499" t="e">
        <f>IF(Übersicht!#REF!-(O18+O24)&lt;0,0,Übersicht!#REF!-(O18+O24))-O29-O30-O31</f>
        <v>#REF!</v>
      </c>
    </row>
    <row r="27" spans="1:21" ht="108" customHeight="1" x14ac:dyDescent="0.25">
      <c r="A27" s="161" t="s">
        <v>174</v>
      </c>
      <c r="B27" s="157" t="s">
        <v>175</v>
      </c>
      <c r="C27" s="35" t="s">
        <v>176</v>
      </c>
      <c r="D27" s="35" t="s">
        <v>180</v>
      </c>
      <c r="E27" s="35" t="s">
        <v>215</v>
      </c>
      <c r="F27" s="300"/>
      <c r="G27" s="300"/>
      <c r="H27" s="300" t="s">
        <v>216</v>
      </c>
      <c r="I27" s="300" t="s">
        <v>182</v>
      </c>
      <c r="J27" s="35" t="s">
        <v>217</v>
      </c>
      <c r="K27" s="300" t="s">
        <v>218</v>
      </c>
      <c r="L27" s="300" t="s">
        <v>219</v>
      </c>
      <c r="M27" s="300" t="s">
        <v>220</v>
      </c>
      <c r="N27" s="35" t="s">
        <v>221</v>
      </c>
      <c r="O27" s="377" t="s">
        <v>222</v>
      </c>
      <c r="P27" s="266"/>
      <c r="Q27" s="158"/>
      <c r="U27" s="329"/>
    </row>
    <row r="28" spans="1:21" ht="21" customHeight="1" x14ac:dyDescent="0.2">
      <c r="A28" s="161"/>
      <c r="B28" s="157"/>
      <c r="C28" s="157"/>
      <c r="D28" s="311" t="s">
        <v>188</v>
      </c>
      <c r="E28" s="265" t="s">
        <v>195</v>
      </c>
      <c r="F28" s="309"/>
      <c r="G28" s="309"/>
      <c r="H28" s="311" t="s">
        <v>188</v>
      </c>
      <c r="I28" s="311" t="s">
        <v>188</v>
      </c>
      <c r="J28" s="311" t="s">
        <v>188</v>
      </c>
      <c r="K28" s="311" t="s">
        <v>188</v>
      </c>
      <c r="L28" s="311" t="s">
        <v>188</v>
      </c>
      <c r="M28" s="311" t="s">
        <v>188</v>
      </c>
      <c r="N28" s="303" t="s">
        <v>223</v>
      </c>
      <c r="O28" s="267" t="s">
        <v>149</v>
      </c>
      <c r="Q28" s="329"/>
    </row>
    <row r="29" spans="1:21" ht="14.25" customHeight="1" x14ac:dyDescent="0.2">
      <c r="A29" s="148">
        <v>1</v>
      </c>
      <c r="B29" s="305"/>
      <c r="C29" s="164"/>
      <c r="D29" s="511"/>
      <c r="E29" s="511"/>
      <c r="F29" s="309"/>
      <c r="G29" s="309"/>
      <c r="H29" s="511"/>
      <c r="I29" s="512" t="str">
        <f>IF(E29="x",Übersicht!$H$12/1000," ")</f>
        <v xml:space="preserve"> </v>
      </c>
      <c r="J29" s="512">
        <f>IF(E29="x",0.2,0)</f>
        <v>0</v>
      </c>
      <c r="K29" s="512">
        <f>IF(E29="x",D29-I29-H29-J29,D29-H29-J29)</f>
        <v>0</v>
      </c>
      <c r="L29" s="512" t="str">
        <f>IF(ISERROR(SQRT($O$26/K29/3.14)*2),"",SQRT($O$26/K29/3.14)*2)</f>
        <v/>
      </c>
      <c r="M29" s="511"/>
      <c r="N29" s="302">
        <f>C29*(M29/2)^2*3.14*D29</f>
        <v>0</v>
      </c>
      <c r="O29" s="301">
        <f>C29*(M29/2)^2*3.14*K29</f>
        <v>0</v>
      </c>
      <c r="Q29" s="329" t="str">
        <f>IF(ISERROR(A1/B1),"",A1/B1)</f>
        <v/>
      </c>
    </row>
    <row r="30" spans="1:21" ht="14.25" customHeight="1" x14ac:dyDescent="0.2">
      <c r="A30" s="148">
        <v>2</v>
      </c>
      <c r="B30" s="305"/>
      <c r="C30" s="164"/>
      <c r="D30" s="511"/>
      <c r="E30" s="511"/>
      <c r="F30" s="309"/>
      <c r="G30" s="309"/>
      <c r="H30" s="511"/>
      <c r="I30" s="512" t="str">
        <f>IF(E30="x",Übersicht!$H$12/1000," ")</f>
        <v xml:space="preserve"> </v>
      </c>
      <c r="J30" s="512">
        <f>IF(E30="x",0.2,0)</f>
        <v>0</v>
      </c>
      <c r="K30" s="512">
        <f>IF(E30="x",D30-I30-H30-J30,D30-H30-J30)</f>
        <v>0</v>
      </c>
      <c r="L30" s="512" t="str">
        <f>IF(ISERROR(SQRT(($O$26-O29)/K30/3.14)*2),"",SQRT(($O$26-O29)/K30/3.14)*2)</f>
        <v/>
      </c>
      <c r="M30" s="511"/>
      <c r="N30" s="302">
        <f>C30*(M30/2)^2*3.14*D30</f>
        <v>0</v>
      </c>
      <c r="O30" s="268">
        <f>C30*(M30/2)^2*3.14*K30</f>
        <v>0</v>
      </c>
      <c r="Q30" s="329"/>
    </row>
    <row r="31" spans="1:21" ht="13.5" customHeight="1" thickBot="1" x14ac:dyDescent="0.25">
      <c r="A31" s="37">
        <v>3</v>
      </c>
      <c r="B31" s="306"/>
      <c r="C31" s="304"/>
      <c r="D31" s="513"/>
      <c r="E31" s="513"/>
      <c r="F31" s="341"/>
      <c r="G31" s="341"/>
      <c r="H31" s="513"/>
      <c r="I31" s="514" t="str">
        <f>IF(E31="x",Übersicht!$H$12/1000," ")</f>
        <v xml:space="preserve"> </v>
      </c>
      <c r="J31" s="514">
        <f>IF(E31="x",0.2,0)</f>
        <v>0</v>
      </c>
      <c r="K31" s="514">
        <f>IF(E31="x",D31-I31-H31-J31,D31-H31-J31)</f>
        <v>0</v>
      </c>
      <c r="L31" s="514" t="str">
        <f>IF(ISERROR(SQRT(($O$26-O29-O30)/K31/3.14)*2),"",SQRT(($O$26-O29-O30)/K31/3.14)*2)</f>
        <v/>
      </c>
      <c r="M31" s="513"/>
      <c r="N31" s="353">
        <f>C31*(M31/2)^2*3.14*D31</f>
        <v>0</v>
      </c>
      <c r="O31" s="318">
        <f>C31*(M31/2)^2*3.14*K31</f>
        <v>0</v>
      </c>
    </row>
    <row r="32" spans="1:21" ht="13.5" customHeight="1" thickBot="1" x14ac:dyDescent="0.25">
      <c r="A32" s="441"/>
      <c r="B32" s="172" t="s">
        <v>190</v>
      </c>
      <c r="N32" s="478" t="s">
        <v>224</v>
      </c>
      <c r="O32" s="328">
        <f>SUM(O29:O31)</f>
        <v>0</v>
      </c>
      <c r="P32" s="423"/>
      <c r="Q32" s="423"/>
      <c r="R32" s="423"/>
      <c r="S32" s="423"/>
      <c r="T32" s="435"/>
    </row>
    <row r="33" spans="1:20" ht="13.5" customHeight="1" thickBot="1" x14ac:dyDescent="0.25">
      <c r="A33" s="441"/>
      <c r="L33" s="478"/>
      <c r="M33" s="173"/>
      <c r="N33" s="423"/>
      <c r="O33" s="435"/>
      <c r="P33" s="423"/>
      <c r="Q33" s="423"/>
      <c r="R33" s="423"/>
      <c r="S33" s="423"/>
      <c r="T33" s="435"/>
    </row>
    <row r="34" spans="1:20" ht="15" customHeight="1" thickBot="1" x14ac:dyDescent="0.25">
      <c r="B34" s="673" t="s">
        <v>225</v>
      </c>
      <c r="C34" s="560"/>
      <c r="D34" s="560"/>
      <c r="E34" s="560"/>
      <c r="F34" s="560"/>
      <c r="G34" s="560"/>
      <c r="H34" s="560"/>
      <c r="I34" s="560"/>
      <c r="J34" s="560"/>
      <c r="K34" s="560"/>
      <c r="L34" s="560"/>
      <c r="M34" s="560"/>
      <c r="N34" s="674"/>
      <c r="O34" s="328">
        <f>O18+O24+O32</f>
        <v>0</v>
      </c>
      <c r="P34" s="72"/>
      <c r="Q34" s="72"/>
      <c r="R34" s="383"/>
      <c r="S34" s="383"/>
    </row>
    <row r="35" spans="1:20" x14ac:dyDescent="0.2">
      <c r="G35" s="74"/>
    </row>
    <row r="38" spans="1:20" x14ac:dyDescent="0.2">
      <c r="A38" s="38"/>
    </row>
    <row r="51" spans="2:18" x14ac:dyDescent="0.2">
      <c r="B51" s="90"/>
    </row>
    <row r="52" spans="2:18" x14ac:dyDescent="0.2">
      <c r="B52" s="90"/>
      <c r="C52" s="111"/>
      <c r="D52" s="111"/>
      <c r="E52" s="111"/>
      <c r="F52" s="111"/>
      <c r="G52" s="112"/>
      <c r="H52" s="112"/>
      <c r="I52" s="112"/>
      <c r="J52" s="112"/>
      <c r="K52" s="112"/>
      <c r="L52" s="87"/>
      <c r="M52" s="114"/>
      <c r="N52" s="87"/>
      <c r="O52" s="87"/>
      <c r="P52" s="87"/>
      <c r="Q52" s="87"/>
      <c r="R52" s="114"/>
    </row>
    <row r="53" spans="2:18" x14ac:dyDescent="0.2">
      <c r="B53" s="90"/>
      <c r="C53" s="111"/>
      <c r="D53" s="111"/>
      <c r="E53" s="111"/>
      <c r="F53" s="111"/>
      <c r="G53" s="112"/>
      <c r="H53" s="112"/>
      <c r="I53" s="112"/>
      <c r="J53" s="112"/>
      <c r="K53" s="112"/>
      <c r="L53" s="87"/>
      <c r="M53" s="114"/>
      <c r="N53" s="87"/>
      <c r="O53" s="87"/>
      <c r="P53" s="87"/>
      <c r="Q53" s="87"/>
      <c r="R53" s="114"/>
    </row>
    <row r="54" spans="2:18" x14ac:dyDescent="0.2">
      <c r="B54" s="90"/>
      <c r="C54" s="111"/>
      <c r="D54" s="111"/>
      <c r="E54" s="111"/>
      <c r="F54" s="111"/>
      <c r="G54" s="112"/>
      <c r="H54" s="112"/>
      <c r="I54" s="112"/>
      <c r="J54" s="112"/>
      <c r="K54" s="112"/>
      <c r="L54" s="87"/>
      <c r="M54" s="114"/>
      <c r="N54" s="87"/>
      <c r="O54" s="87"/>
      <c r="P54" s="87"/>
      <c r="Q54" s="87"/>
      <c r="R54" s="114"/>
    </row>
    <row r="55" spans="2:18" x14ac:dyDescent="0.2">
      <c r="B55" s="90"/>
      <c r="C55" s="111"/>
      <c r="D55" s="111"/>
      <c r="E55" s="111"/>
      <c r="F55" s="111"/>
      <c r="G55" s="112"/>
      <c r="H55" s="112"/>
      <c r="I55" s="112"/>
      <c r="J55" s="112"/>
      <c r="K55" s="112"/>
      <c r="L55" s="87"/>
      <c r="M55" s="114"/>
      <c r="N55" s="87"/>
      <c r="O55" s="87"/>
      <c r="P55" s="87"/>
      <c r="Q55" s="87"/>
      <c r="R55" s="114"/>
    </row>
    <row r="56" spans="2:18" x14ac:dyDescent="0.2">
      <c r="B56" s="90"/>
      <c r="C56" s="111"/>
      <c r="D56" s="111"/>
      <c r="E56" s="111"/>
      <c r="F56" s="111"/>
      <c r="G56" s="112"/>
      <c r="H56" s="112"/>
      <c r="I56" s="112"/>
      <c r="J56" s="112"/>
      <c r="K56" s="112"/>
      <c r="L56" s="87"/>
      <c r="M56" s="114"/>
      <c r="N56" s="87"/>
      <c r="O56" s="87"/>
      <c r="P56" s="87"/>
      <c r="Q56" s="87"/>
      <c r="R56" s="114"/>
    </row>
    <row r="57" spans="2:18" x14ac:dyDescent="0.2">
      <c r="B57" s="90"/>
      <c r="C57" s="111"/>
      <c r="D57" s="111"/>
      <c r="E57" s="111"/>
      <c r="F57" s="111"/>
      <c r="G57" s="112"/>
      <c r="H57" s="112"/>
      <c r="I57" s="112"/>
      <c r="J57" s="112"/>
      <c r="K57" s="112"/>
      <c r="L57" s="87"/>
      <c r="M57" s="114"/>
      <c r="N57" s="87"/>
      <c r="O57" s="87"/>
      <c r="P57" s="87"/>
      <c r="Q57" s="87"/>
      <c r="R57" s="114"/>
    </row>
    <row r="58" spans="2:18" x14ac:dyDescent="0.2">
      <c r="B58" s="90"/>
      <c r="C58" s="112"/>
      <c r="D58" s="112"/>
      <c r="E58" s="111"/>
      <c r="F58" s="111"/>
      <c r="G58" s="111"/>
      <c r="H58" s="112"/>
      <c r="I58" s="112"/>
      <c r="J58" s="112"/>
      <c r="K58" s="111"/>
      <c r="L58" s="87"/>
      <c r="M58" s="114"/>
      <c r="N58" s="87"/>
      <c r="O58" s="87"/>
      <c r="P58" s="87"/>
      <c r="Q58" s="87"/>
      <c r="R58" s="114"/>
    </row>
    <row r="59" spans="2:18" x14ac:dyDescent="0.2">
      <c r="B59" s="90"/>
      <c r="C59" s="112"/>
      <c r="D59" s="112"/>
      <c r="E59" s="112"/>
      <c r="F59" s="112"/>
      <c r="G59" s="112"/>
      <c r="H59" s="112"/>
      <c r="I59" s="112"/>
      <c r="J59" s="112"/>
      <c r="K59" s="112"/>
      <c r="L59" s="87"/>
      <c r="M59" s="114"/>
      <c r="N59" s="87"/>
      <c r="O59" s="87"/>
      <c r="P59" s="87"/>
      <c r="Q59" s="87"/>
      <c r="R59" s="114"/>
    </row>
    <row r="60" spans="2:18" x14ac:dyDescent="0.2">
      <c r="B60" s="90"/>
      <c r="C60" s="111"/>
      <c r="D60" s="111"/>
      <c r="E60" s="112"/>
      <c r="F60" s="112"/>
      <c r="G60" s="102"/>
      <c r="H60" s="112"/>
      <c r="I60" s="112"/>
      <c r="J60" s="112"/>
      <c r="K60" s="102"/>
      <c r="L60" s="87"/>
      <c r="M60" s="114"/>
      <c r="N60" s="87"/>
      <c r="O60" s="87"/>
      <c r="P60" s="87"/>
      <c r="Q60" s="87"/>
      <c r="R60" s="114"/>
    </row>
    <row r="61" spans="2:18" x14ac:dyDescent="0.2">
      <c r="B61" s="90"/>
      <c r="C61" s="111"/>
      <c r="D61" s="111"/>
      <c r="E61" s="111"/>
      <c r="F61" s="111"/>
      <c r="G61" s="112"/>
      <c r="H61" s="112"/>
      <c r="I61" s="112"/>
      <c r="J61" s="112"/>
      <c r="K61" s="112"/>
      <c r="L61" s="103"/>
      <c r="M61" s="114"/>
      <c r="N61" s="103"/>
      <c r="O61" s="103"/>
      <c r="P61" s="103"/>
      <c r="Q61" s="103"/>
      <c r="R61" s="114"/>
    </row>
    <row r="62" spans="2:18" x14ac:dyDescent="0.2">
      <c r="B62" s="90"/>
      <c r="C62" s="111"/>
      <c r="D62" s="111"/>
      <c r="E62" s="111"/>
      <c r="F62" s="111"/>
      <c r="G62" s="111"/>
      <c r="H62" s="111"/>
      <c r="I62" s="111"/>
      <c r="J62" s="112"/>
      <c r="K62" s="111"/>
      <c r="L62" s="104"/>
      <c r="M62" s="114"/>
      <c r="N62" s="104"/>
      <c r="O62" s="104"/>
      <c r="P62" s="104"/>
      <c r="Q62" s="104"/>
      <c r="R62" s="114"/>
    </row>
    <row r="63" spans="2:18" x14ac:dyDescent="0.2">
      <c r="B63" s="90"/>
      <c r="C63" s="111"/>
      <c r="D63" s="111"/>
      <c r="E63" s="111"/>
      <c r="F63" s="111"/>
      <c r="G63" s="111"/>
      <c r="H63" s="112"/>
      <c r="I63" s="112"/>
      <c r="J63" s="111"/>
      <c r="K63" s="111"/>
      <c r="L63" s="87"/>
      <c r="M63" s="114"/>
      <c r="N63" s="87"/>
      <c r="O63" s="87"/>
      <c r="P63" s="87"/>
      <c r="Q63" s="87"/>
      <c r="R63" s="114"/>
    </row>
    <row r="64" spans="2:18" x14ac:dyDescent="0.2">
      <c r="B64" s="90"/>
      <c r="C64" s="105"/>
      <c r="D64" s="105"/>
      <c r="E64" s="111"/>
      <c r="F64" s="111"/>
      <c r="G64" s="105"/>
      <c r="H64" s="102"/>
      <c r="I64" s="102"/>
      <c r="J64" s="112"/>
      <c r="K64" s="105"/>
      <c r="L64" s="106"/>
      <c r="M64" s="114"/>
      <c r="N64" s="106"/>
      <c r="O64" s="106"/>
      <c r="P64" s="106"/>
      <c r="Q64" s="106"/>
      <c r="R64" s="114"/>
    </row>
    <row r="65" spans="2:18" x14ac:dyDescent="0.2">
      <c r="B65" s="108"/>
      <c r="C65" s="111"/>
      <c r="D65" s="111"/>
      <c r="E65" s="105"/>
      <c r="F65" s="105"/>
      <c r="H65" s="112"/>
      <c r="I65" s="112"/>
      <c r="J65" s="102"/>
      <c r="L65" s="107"/>
      <c r="M65" s="114"/>
      <c r="N65" s="107"/>
      <c r="O65" s="107"/>
      <c r="P65" s="107"/>
      <c r="Q65" s="107"/>
      <c r="R65" s="114"/>
    </row>
    <row r="66" spans="2:18" x14ac:dyDescent="0.2">
      <c r="B66" s="90"/>
      <c r="C66" s="111"/>
      <c r="D66" s="111"/>
      <c r="E66" s="111"/>
      <c r="F66" s="111"/>
      <c r="G66" s="112"/>
      <c r="H66" s="111"/>
      <c r="I66" s="111"/>
      <c r="J66" s="112"/>
      <c r="K66" s="112"/>
      <c r="L66" s="87"/>
      <c r="M66" s="114"/>
      <c r="N66" s="87"/>
      <c r="O66" s="87"/>
      <c r="P66" s="87"/>
      <c r="Q66" s="87"/>
      <c r="R66" s="114"/>
    </row>
    <row r="67" spans="2:18" x14ac:dyDescent="0.2">
      <c r="B67" s="110"/>
      <c r="C67" s="111"/>
      <c r="D67" s="111"/>
      <c r="E67" s="111"/>
      <c r="F67" s="111"/>
      <c r="G67" s="111"/>
      <c r="H67" s="111"/>
      <c r="I67" s="111"/>
      <c r="J67" s="111"/>
      <c r="K67" s="111"/>
      <c r="L67" s="109"/>
      <c r="M67" s="114"/>
      <c r="N67" s="109"/>
      <c r="O67" s="109"/>
      <c r="P67" s="109"/>
      <c r="Q67" s="109"/>
      <c r="R67" s="114"/>
    </row>
    <row r="68" spans="2:18" x14ac:dyDescent="0.2">
      <c r="B68" s="110"/>
      <c r="C68" s="111"/>
      <c r="D68" s="111"/>
      <c r="E68" s="111"/>
      <c r="F68" s="111"/>
      <c r="G68" s="112"/>
      <c r="H68" s="105"/>
      <c r="I68" s="105"/>
      <c r="J68" s="111"/>
      <c r="K68" s="112"/>
      <c r="L68" s="113"/>
      <c r="M68" s="114"/>
      <c r="N68" s="113"/>
      <c r="O68" s="113"/>
      <c r="P68" s="113"/>
      <c r="Q68" s="113"/>
      <c r="R68" s="114"/>
    </row>
    <row r="69" spans="2:18" x14ac:dyDescent="0.2">
      <c r="B69" s="110"/>
      <c r="C69" s="111"/>
      <c r="D69" s="111"/>
      <c r="E69" s="111"/>
      <c r="F69" s="111"/>
      <c r="G69" s="112"/>
      <c r="J69" s="105"/>
      <c r="K69" s="112"/>
      <c r="L69" s="113"/>
      <c r="M69" s="114"/>
      <c r="N69" s="113"/>
      <c r="O69" s="113"/>
      <c r="P69" s="113"/>
      <c r="Q69" s="113"/>
      <c r="R69" s="114"/>
    </row>
    <row r="70" spans="2:18" x14ac:dyDescent="0.2">
      <c r="B70" s="115"/>
      <c r="C70" s="111"/>
      <c r="D70" s="111"/>
      <c r="E70" s="111"/>
      <c r="F70" s="111"/>
      <c r="G70" s="112"/>
      <c r="H70" s="112"/>
      <c r="I70" s="112"/>
      <c r="K70" s="112"/>
      <c r="L70" s="113"/>
      <c r="M70" s="114"/>
      <c r="N70" s="113"/>
      <c r="O70" s="113"/>
      <c r="P70" s="113"/>
      <c r="Q70" s="113"/>
      <c r="R70" s="114"/>
    </row>
    <row r="71" spans="2:18" x14ac:dyDescent="0.2">
      <c r="B71" s="115"/>
      <c r="C71" s="116"/>
      <c r="D71" s="116"/>
      <c r="E71" s="117"/>
      <c r="F71" s="117"/>
      <c r="G71" s="118"/>
      <c r="H71" s="112"/>
      <c r="I71" s="112"/>
      <c r="J71" s="112"/>
      <c r="K71" s="118"/>
      <c r="L71" s="116"/>
      <c r="M71" s="116"/>
      <c r="N71" s="116"/>
      <c r="O71" s="116"/>
      <c r="P71" s="116"/>
      <c r="Q71" s="116"/>
      <c r="R71" s="116"/>
    </row>
    <row r="72" spans="2:18" x14ac:dyDescent="0.2">
      <c r="B72" s="115"/>
      <c r="C72" s="116"/>
      <c r="D72" s="116"/>
      <c r="E72" s="116"/>
      <c r="F72" s="116"/>
      <c r="G72" s="116"/>
      <c r="H72" s="112"/>
      <c r="I72" s="112"/>
      <c r="J72" s="112"/>
      <c r="K72" s="116"/>
      <c r="L72" s="116"/>
      <c r="M72" s="116"/>
      <c r="N72" s="116"/>
      <c r="O72" s="116"/>
      <c r="P72" s="116"/>
      <c r="Q72" s="116"/>
      <c r="R72" s="116"/>
    </row>
    <row r="73" spans="2:18" x14ac:dyDescent="0.2">
      <c r="B73" s="115"/>
      <c r="C73" s="116"/>
      <c r="D73" s="116"/>
      <c r="E73" s="116"/>
      <c r="F73" s="116"/>
      <c r="G73" s="116"/>
      <c r="H73" s="112"/>
      <c r="I73" s="112"/>
      <c r="J73" s="112"/>
      <c r="K73" s="116"/>
      <c r="L73" s="116"/>
      <c r="M73" s="116"/>
      <c r="N73" s="116"/>
      <c r="O73" s="116"/>
      <c r="P73" s="116"/>
      <c r="Q73" s="116"/>
      <c r="R73" s="116"/>
    </row>
    <row r="74" spans="2:18" x14ac:dyDescent="0.2">
      <c r="B74" s="115"/>
      <c r="C74" s="116"/>
      <c r="D74" s="116"/>
      <c r="E74" s="116"/>
      <c r="F74" s="116"/>
      <c r="G74" s="116"/>
      <c r="H74" s="112"/>
      <c r="I74" s="112"/>
      <c r="J74" s="112"/>
      <c r="K74" s="116"/>
      <c r="L74" s="116"/>
      <c r="M74" s="116"/>
      <c r="N74" s="116"/>
      <c r="O74" s="116"/>
      <c r="P74" s="116"/>
      <c r="Q74" s="116"/>
      <c r="R74" s="116"/>
    </row>
    <row r="75" spans="2:18" x14ac:dyDescent="0.2">
      <c r="B75" s="115"/>
      <c r="C75" s="116"/>
      <c r="D75" s="116"/>
      <c r="E75" s="116"/>
      <c r="F75" s="116"/>
      <c r="G75" s="116"/>
      <c r="H75" s="118"/>
      <c r="I75" s="118"/>
      <c r="J75" s="112"/>
      <c r="K75" s="116"/>
      <c r="L75" s="116"/>
      <c r="M75" s="116"/>
      <c r="N75" s="116"/>
      <c r="O75" s="116"/>
      <c r="P75" s="116"/>
      <c r="Q75" s="116"/>
      <c r="R75" s="116"/>
    </row>
    <row r="76" spans="2:18" x14ac:dyDescent="0.2">
      <c r="B76" s="119"/>
      <c r="C76" s="116"/>
      <c r="D76" s="116"/>
      <c r="E76" s="116"/>
      <c r="F76" s="116"/>
      <c r="G76" s="116"/>
      <c r="H76" s="116"/>
      <c r="I76" s="116"/>
      <c r="J76" s="118"/>
      <c r="K76" s="116"/>
      <c r="L76" s="116"/>
      <c r="M76" s="116"/>
      <c r="N76" s="116"/>
      <c r="O76" s="116"/>
      <c r="P76" s="116"/>
      <c r="Q76" s="116"/>
      <c r="R76" s="116"/>
    </row>
    <row r="77" spans="2:18" x14ac:dyDescent="0.2">
      <c r="B77" s="121"/>
      <c r="C77" s="120"/>
      <c r="D77" s="120"/>
      <c r="E77" s="116"/>
      <c r="F77" s="116"/>
      <c r="G77" s="116"/>
      <c r="H77" s="116"/>
      <c r="I77" s="116"/>
      <c r="J77" s="116"/>
      <c r="K77" s="116"/>
      <c r="L77" s="116"/>
      <c r="M77" s="116"/>
      <c r="N77" s="116"/>
      <c r="O77" s="116"/>
      <c r="P77" s="116"/>
      <c r="Q77" s="116"/>
      <c r="R77" s="116"/>
    </row>
    <row r="78" spans="2:18" x14ac:dyDescent="0.2">
      <c r="B78" s="121"/>
      <c r="C78" s="120"/>
      <c r="D78" s="120"/>
      <c r="E78" s="120"/>
      <c r="F78" s="120"/>
      <c r="G78" s="122"/>
      <c r="H78" s="116"/>
      <c r="I78" s="116"/>
      <c r="J78" s="116"/>
      <c r="K78" s="122"/>
      <c r="L78" s="123"/>
      <c r="M78" s="123"/>
      <c r="N78" s="123"/>
      <c r="O78" s="123"/>
      <c r="P78" s="123"/>
      <c r="Q78" s="123"/>
      <c r="R78" s="123"/>
    </row>
    <row r="79" spans="2:18" x14ac:dyDescent="0.2">
      <c r="C79" s="120"/>
      <c r="D79" s="120"/>
      <c r="E79" s="120"/>
      <c r="F79" s="120"/>
      <c r="G79" s="122"/>
      <c r="H79" s="116"/>
      <c r="I79" s="116"/>
      <c r="J79" s="116"/>
      <c r="K79" s="122"/>
      <c r="L79" s="123"/>
      <c r="M79" s="123"/>
      <c r="N79" s="123"/>
      <c r="O79" s="123"/>
      <c r="P79" s="123"/>
      <c r="Q79" s="123"/>
      <c r="R79" s="123"/>
    </row>
    <row r="80" spans="2:18" x14ac:dyDescent="0.2">
      <c r="E80" s="120"/>
      <c r="F80" s="120"/>
      <c r="G80" s="122"/>
      <c r="H80" s="116"/>
      <c r="I80" s="116"/>
      <c r="J80" s="116"/>
      <c r="K80" s="122"/>
      <c r="L80" s="123"/>
      <c r="M80" s="123"/>
      <c r="N80" s="123"/>
      <c r="O80" s="123"/>
      <c r="P80" s="123"/>
      <c r="Q80" s="123"/>
      <c r="R80" s="123"/>
    </row>
    <row r="81" spans="8:10" x14ac:dyDescent="0.2">
      <c r="H81" s="116"/>
      <c r="I81" s="116"/>
      <c r="J81" s="116"/>
    </row>
    <row r="82" spans="8:10" x14ac:dyDescent="0.2">
      <c r="H82" s="122"/>
      <c r="I82" s="122"/>
      <c r="J82" s="116"/>
    </row>
    <row r="83" spans="8:10" x14ac:dyDescent="0.2">
      <c r="H83" s="122"/>
      <c r="I83" s="122"/>
      <c r="J83" s="122"/>
    </row>
    <row r="84" spans="8:10" x14ac:dyDescent="0.2">
      <c r="H84" s="122"/>
      <c r="I84" s="122"/>
      <c r="J84" s="122"/>
    </row>
    <row r="85" spans="8:10" x14ac:dyDescent="0.2">
      <c r="J85" s="122"/>
    </row>
  </sheetData>
  <mergeCells count="5">
    <mergeCell ref="A19:M19"/>
    <mergeCell ref="K26:N26"/>
    <mergeCell ref="A9:M9"/>
    <mergeCell ref="B7:D7"/>
    <mergeCell ref="B34:N34"/>
  </mergeCells>
  <printOptions horizontalCentered="1"/>
  <pageMargins left="0.19685039370078741" right="0.27559055118110237" top="0.59055118110236227" bottom="0.35433070866141742" header="0.19685039370078741" footer="0"/>
  <pageSetup paperSize="9" scale="69" orientation="landscape" r:id="rId1"/>
  <headerFooter alignWithMargins="0">
    <oddHeader>&amp;L
Arbeitskreis Bauen, Energie, Technik&amp;C&amp;P&amp;R&amp;G</oddHeader>
    <oddFooter>&amp;R&amp;F</oddFooter>
  </headerFooter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A69"/>
  <sheetViews>
    <sheetView showGridLines="0" showRowColHeaders="0" showZeros="0" view="pageLayout" topLeftCell="A15" zoomScaleNormal="100" zoomScaleSheetLayoutView="100" workbookViewId="0">
      <selection activeCell="B11" sqref="B11:B13"/>
    </sheetView>
  </sheetViews>
  <sheetFormatPr baseColWidth="10" defaultRowHeight="12.75" x14ac:dyDescent="0.2"/>
  <cols>
    <col min="1" max="1" width="6.5703125" style="473" customWidth="1"/>
    <col min="2" max="2" width="23.5703125" style="473" customWidth="1"/>
    <col min="3" max="3" width="9" style="473" bestFit="1" customWidth="1"/>
    <col min="4" max="4" width="8.85546875" style="473" bestFit="1" customWidth="1"/>
    <col min="5" max="5" width="9.42578125" style="473" customWidth="1"/>
    <col min="6" max="6" width="10.7109375" style="473" customWidth="1"/>
    <col min="7" max="8" width="12.140625" style="473" customWidth="1"/>
    <col min="9" max="9" width="17.7109375" style="473" customWidth="1"/>
    <col min="10" max="11" width="13.28515625" style="473" customWidth="1"/>
    <col min="12" max="12" width="12" style="473" customWidth="1"/>
    <col min="13" max="13" width="4.85546875" style="473" bestFit="1" customWidth="1"/>
    <col min="14" max="14" width="4.7109375" style="473" customWidth="1"/>
    <col min="15" max="15" width="5.140625" style="473" customWidth="1"/>
    <col min="16" max="16" width="4" style="473" bestFit="1" customWidth="1"/>
    <col min="17" max="17" width="3.85546875" style="473" customWidth="1"/>
    <col min="18" max="19" width="4" style="473" bestFit="1" customWidth="1"/>
    <col min="20" max="20" width="5.5703125" style="473" customWidth="1"/>
    <col min="21" max="21" width="4.140625" style="473" customWidth="1"/>
    <col min="23" max="23" width="12" style="473" customWidth="1"/>
  </cols>
  <sheetData>
    <row r="1" spans="1:27" ht="18" customHeight="1" x14ac:dyDescent="0.25">
      <c r="A1" s="660"/>
      <c r="B1" s="560"/>
      <c r="C1" s="452"/>
      <c r="D1" s="452"/>
      <c r="E1" s="452"/>
      <c r="F1" s="452"/>
      <c r="G1" s="452"/>
      <c r="H1" s="452"/>
      <c r="I1" s="452"/>
      <c r="J1" s="452"/>
      <c r="K1" s="452"/>
      <c r="L1" s="452"/>
      <c r="M1" s="453"/>
      <c r="N1" s="453"/>
      <c r="O1" s="453"/>
      <c r="P1" s="453"/>
      <c r="Q1" s="453"/>
      <c r="R1" s="453"/>
      <c r="S1" s="453"/>
      <c r="T1" s="453"/>
      <c r="U1" s="453"/>
      <c r="V1" s="453"/>
      <c r="W1" s="453"/>
    </row>
    <row r="2" spans="1:27" ht="15.75" customHeight="1" x14ac:dyDescent="0.25">
      <c r="A2" s="663"/>
      <c r="B2" s="596"/>
      <c r="C2" s="101"/>
      <c r="D2" s="101"/>
      <c r="E2" s="101"/>
      <c r="F2" s="101"/>
      <c r="G2" s="101"/>
      <c r="H2" s="454"/>
      <c r="I2" s="454"/>
      <c r="J2" s="454"/>
      <c r="K2" s="454"/>
      <c r="L2" s="453"/>
      <c r="M2" s="453"/>
      <c r="N2" s="453"/>
      <c r="O2" s="453"/>
      <c r="P2" s="453"/>
      <c r="Q2" s="453"/>
      <c r="R2" s="453"/>
      <c r="S2" s="453"/>
      <c r="T2" s="453"/>
      <c r="U2" s="453"/>
      <c r="V2" s="453"/>
      <c r="W2" s="453"/>
    </row>
    <row r="3" spans="1:27" ht="2.25" customHeight="1" x14ac:dyDescent="0.2">
      <c r="A3" s="374"/>
      <c r="B3" s="474"/>
      <c r="C3" s="120"/>
      <c r="D3" s="120"/>
      <c r="E3" s="120"/>
      <c r="F3" s="120"/>
      <c r="G3" s="120"/>
      <c r="H3" s="453"/>
      <c r="I3" s="453"/>
      <c r="J3" s="453"/>
      <c r="K3" s="453"/>
      <c r="L3" s="453"/>
      <c r="M3" s="453"/>
      <c r="N3" s="453"/>
      <c r="O3" s="453"/>
      <c r="P3" s="453"/>
      <c r="Q3" s="453"/>
      <c r="R3" s="453"/>
      <c r="S3" s="453"/>
      <c r="T3" s="453"/>
      <c r="U3" s="453"/>
      <c r="V3" s="453"/>
      <c r="W3" s="453"/>
    </row>
    <row r="4" spans="1:27" ht="2.25" customHeight="1" x14ac:dyDescent="0.2">
      <c r="A4" s="374"/>
      <c r="B4" s="474"/>
      <c r="C4" s="120"/>
      <c r="D4" s="120"/>
      <c r="E4" s="120"/>
      <c r="F4" s="120"/>
      <c r="G4" s="120"/>
      <c r="H4" s="453"/>
      <c r="I4" s="453"/>
      <c r="J4" s="453"/>
      <c r="K4" s="453"/>
      <c r="L4" s="453"/>
      <c r="M4" s="453"/>
      <c r="N4" s="453"/>
      <c r="O4" s="453"/>
      <c r="P4" s="453"/>
      <c r="Q4" s="453"/>
      <c r="R4" s="453"/>
      <c r="S4" s="453"/>
      <c r="T4" s="453"/>
      <c r="U4" s="453"/>
      <c r="V4" s="453"/>
      <c r="W4" s="453"/>
    </row>
    <row r="5" spans="1:27" ht="12.75" customHeight="1" x14ac:dyDescent="0.2">
      <c r="A5" s="453"/>
      <c r="B5" s="468" t="s">
        <v>1</v>
      </c>
      <c r="C5" s="586">
        <f>Übersicht!B8</f>
        <v>0</v>
      </c>
      <c r="D5" s="560"/>
      <c r="E5" s="560"/>
      <c r="F5" s="560"/>
      <c r="G5" s="560"/>
      <c r="H5" s="560"/>
      <c r="I5" s="560"/>
      <c r="J5" s="453"/>
      <c r="K5" s="471"/>
      <c r="L5" s="471"/>
      <c r="M5" s="471"/>
      <c r="N5" s="471"/>
      <c r="O5" s="471"/>
      <c r="P5" s="471"/>
      <c r="Q5" s="471"/>
      <c r="R5" s="471"/>
      <c r="S5" s="471"/>
      <c r="T5" s="471"/>
      <c r="U5" s="471"/>
      <c r="V5" s="471"/>
      <c r="W5" s="576"/>
      <c r="X5" s="675"/>
      <c r="Y5" s="675"/>
      <c r="Z5" s="460"/>
      <c r="AA5" s="460"/>
    </row>
    <row r="6" spans="1:27" x14ac:dyDescent="0.2">
      <c r="A6" s="453"/>
      <c r="B6" s="468" t="s">
        <v>2</v>
      </c>
      <c r="C6" s="586" t="str">
        <f>Übersicht!B9</f>
        <v>Betrieb Name, Ort</v>
      </c>
      <c r="D6" s="560"/>
      <c r="E6" s="560"/>
      <c r="F6" s="560"/>
      <c r="G6" s="560"/>
      <c r="H6" s="560"/>
      <c r="I6" s="560"/>
      <c r="J6" s="453"/>
      <c r="K6" s="471"/>
      <c r="L6" s="471"/>
      <c r="M6" s="471"/>
      <c r="N6" s="471"/>
      <c r="O6" s="471"/>
      <c r="P6" s="471"/>
      <c r="Q6" s="471"/>
      <c r="R6" s="471"/>
      <c r="S6" s="471"/>
      <c r="T6" s="471"/>
      <c r="U6" s="471"/>
      <c r="V6" s="471"/>
      <c r="W6" s="560"/>
      <c r="X6" s="558"/>
      <c r="Y6" s="558"/>
      <c r="Z6" s="460"/>
      <c r="AA6" s="460"/>
    </row>
    <row r="7" spans="1:27" x14ac:dyDescent="0.2">
      <c r="A7" s="453"/>
      <c r="B7" s="468"/>
      <c r="C7" s="470"/>
      <c r="D7" s="453"/>
      <c r="E7" s="453"/>
      <c r="F7" s="453"/>
      <c r="G7" s="453"/>
      <c r="H7" s="453"/>
      <c r="I7" s="453"/>
      <c r="J7" s="453"/>
      <c r="K7" s="471"/>
      <c r="L7" s="471"/>
      <c r="M7" s="471"/>
      <c r="N7" s="471"/>
      <c r="O7" s="471"/>
      <c r="P7" s="471"/>
      <c r="Q7" s="471"/>
      <c r="R7" s="471"/>
      <c r="S7" s="471"/>
      <c r="T7" s="471"/>
      <c r="U7" s="471"/>
      <c r="V7" s="471"/>
      <c r="W7" s="455"/>
      <c r="X7" s="480"/>
      <c r="Y7" s="480"/>
      <c r="Z7" s="460"/>
      <c r="AA7" s="460"/>
    </row>
    <row r="8" spans="1:27" ht="13.5" customHeight="1" thickBot="1" x14ac:dyDescent="0.25">
      <c r="A8" s="676" t="s">
        <v>226</v>
      </c>
      <c r="B8" s="654"/>
      <c r="C8" s="654"/>
      <c r="D8" s="654"/>
      <c r="E8" s="654"/>
      <c r="F8" s="654"/>
      <c r="G8" s="654"/>
      <c r="H8" s="654"/>
      <c r="I8" s="654"/>
      <c r="J8" s="481"/>
      <c r="K8" s="382"/>
      <c r="L8" s="383"/>
      <c r="M8" s="383"/>
      <c r="N8" s="453"/>
      <c r="O8" s="453"/>
      <c r="P8" s="453"/>
      <c r="Q8" s="453"/>
      <c r="R8" s="453"/>
      <c r="S8" s="453"/>
      <c r="T8" s="453"/>
      <c r="U8" s="453"/>
      <c r="V8" s="453"/>
      <c r="W8" s="453"/>
    </row>
    <row r="9" spans="1:27" ht="54" customHeight="1" x14ac:dyDescent="0.2">
      <c r="A9" s="384" t="s">
        <v>227</v>
      </c>
      <c r="B9" s="41" t="s">
        <v>175</v>
      </c>
      <c r="C9" s="41" t="s">
        <v>176</v>
      </c>
      <c r="D9" s="376" t="s">
        <v>192</v>
      </c>
      <c r="E9" s="376" t="s">
        <v>209</v>
      </c>
      <c r="F9" s="41" t="s">
        <v>228</v>
      </c>
      <c r="G9" s="41" t="s">
        <v>229</v>
      </c>
      <c r="H9" s="41" t="s">
        <v>230</v>
      </c>
      <c r="I9" s="41" t="s">
        <v>231</v>
      </c>
      <c r="J9" s="377" t="s">
        <v>186</v>
      </c>
      <c r="K9" s="383"/>
      <c r="L9" s="383"/>
      <c r="M9" s="453"/>
      <c r="N9" s="453"/>
      <c r="O9" s="453"/>
      <c r="P9" s="453"/>
      <c r="Q9" s="453"/>
      <c r="R9" s="453"/>
      <c r="S9" s="453"/>
      <c r="T9" s="453"/>
      <c r="U9" s="453"/>
      <c r="V9" s="453"/>
      <c r="W9" s="453"/>
    </row>
    <row r="10" spans="1:27" ht="13.5" customHeight="1" thickBot="1" x14ac:dyDescent="0.25">
      <c r="A10" s="385"/>
      <c r="B10" s="297"/>
      <c r="C10" s="297"/>
      <c r="D10" s="386" t="s">
        <v>188</v>
      </c>
      <c r="E10" s="387" t="s">
        <v>188</v>
      </c>
      <c r="F10" s="297" t="s">
        <v>188</v>
      </c>
      <c r="G10" s="297" t="s">
        <v>195</v>
      </c>
      <c r="H10" s="388"/>
      <c r="I10" s="297" t="s">
        <v>149</v>
      </c>
      <c r="J10" s="389" t="s">
        <v>149</v>
      </c>
      <c r="K10" s="383"/>
      <c r="L10" s="383"/>
      <c r="M10" s="453"/>
      <c r="N10" s="453"/>
      <c r="O10" s="453"/>
      <c r="P10" s="453"/>
      <c r="Q10" s="453"/>
      <c r="R10" s="453"/>
      <c r="S10" s="453"/>
      <c r="T10" s="453"/>
      <c r="U10" s="453"/>
      <c r="V10" s="453"/>
      <c r="W10" s="453"/>
    </row>
    <row r="11" spans="1:27" ht="17.100000000000001" customHeight="1" x14ac:dyDescent="0.2">
      <c r="A11" s="296">
        <v>1</v>
      </c>
      <c r="B11" s="286"/>
      <c r="C11" s="286"/>
      <c r="D11" s="166"/>
      <c r="E11" s="166"/>
      <c r="F11" s="166"/>
      <c r="G11" s="286"/>
      <c r="H11" s="351">
        <v>1</v>
      </c>
      <c r="I11" s="295">
        <f>IF(G11="x",0,D11*E11*H11*Übersicht!$H$11/1000*Übersicht!$C$12/12*0.7)</f>
        <v>0</v>
      </c>
      <c r="J11" s="168">
        <f t="shared" ref="J11:J17" si="0">D11*E11*F11</f>
        <v>0</v>
      </c>
      <c r="K11" s="383"/>
      <c r="L11" s="383"/>
      <c r="M11" s="453"/>
      <c r="N11" s="453"/>
      <c r="O11" s="453"/>
      <c r="P11" s="453"/>
      <c r="Q11" s="453"/>
      <c r="R11" s="453"/>
      <c r="S11" s="453"/>
      <c r="T11" s="453"/>
      <c r="U11" s="453"/>
      <c r="V11" s="453"/>
      <c r="W11" s="453"/>
    </row>
    <row r="12" spans="1:27" ht="17.100000000000001" customHeight="1" x14ac:dyDescent="0.2">
      <c r="A12" s="42">
        <v>2</v>
      </c>
      <c r="B12" s="164"/>
      <c r="C12" s="164"/>
      <c r="D12" s="165"/>
      <c r="E12" s="165"/>
      <c r="F12" s="165"/>
      <c r="G12" s="164"/>
      <c r="H12" s="352">
        <v>1</v>
      </c>
      <c r="I12" s="295">
        <f>IF(G12="x",0,D12*E12*H12*Übersicht!$H$11/1000*Übersicht!$C$12/12*0.7)</f>
        <v>0</v>
      </c>
      <c r="J12" s="178">
        <f t="shared" si="0"/>
        <v>0</v>
      </c>
      <c r="K12" s="383"/>
      <c r="L12" s="383"/>
      <c r="M12" s="453"/>
      <c r="N12" s="453"/>
      <c r="O12" s="453"/>
      <c r="P12" s="453"/>
      <c r="Q12" s="453"/>
      <c r="R12" s="453"/>
      <c r="S12" s="453"/>
      <c r="T12" s="453"/>
      <c r="U12" s="453"/>
      <c r="V12" s="453"/>
      <c r="W12" s="453"/>
    </row>
    <row r="13" spans="1:27" ht="17.100000000000001" customHeight="1" x14ac:dyDescent="0.2">
      <c r="A13" s="42">
        <v>3</v>
      </c>
      <c r="B13" s="164"/>
      <c r="C13" s="164"/>
      <c r="D13" s="165"/>
      <c r="E13" s="165"/>
      <c r="F13" s="165"/>
      <c r="G13" s="164"/>
      <c r="H13" s="352">
        <v>1</v>
      </c>
      <c r="I13" s="295">
        <f>IF(G13="x",0,D13*E13*H13*Übersicht!$H$11/1000*Übersicht!$C$12/12*0.7)</f>
        <v>0</v>
      </c>
      <c r="J13" s="178">
        <f t="shared" si="0"/>
        <v>0</v>
      </c>
      <c r="K13" s="383"/>
      <c r="L13" s="383"/>
      <c r="M13" s="453"/>
      <c r="N13" s="453"/>
      <c r="O13" s="453"/>
      <c r="P13" s="453"/>
      <c r="Q13" s="453"/>
      <c r="R13" s="453"/>
      <c r="S13" s="453"/>
      <c r="T13" s="453"/>
      <c r="U13" s="453"/>
      <c r="V13" s="453"/>
      <c r="W13" s="453"/>
    </row>
    <row r="14" spans="1:27" ht="17.100000000000001" customHeight="1" x14ac:dyDescent="0.2">
      <c r="A14" s="42">
        <v>4</v>
      </c>
      <c r="B14" s="164"/>
      <c r="C14" s="164"/>
      <c r="D14" s="165"/>
      <c r="E14" s="165"/>
      <c r="F14" s="165"/>
      <c r="G14" s="164"/>
      <c r="H14" s="352">
        <v>1</v>
      </c>
      <c r="I14" s="295">
        <f>IF(G14="x",0,D14*E14*H14*Übersicht!$H$11/1000*Übersicht!$C$12/12*0.7)</f>
        <v>0</v>
      </c>
      <c r="J14" s="178">
        <f t="shared" si="0"/>
        <v>0</v>
      </c>
      <c r="K14" s="383"/>
      <c r="L14" s="383"/>
      <c r="M14" s="453"/>
      <c r="N14" s="453"/>
      <c r="O14" s="453"/>
      <c r="P14" s="453"/>
      <c r="Q14" s="453"/>
      <c r="R14" s="453"/>
      <c r="S14" s="453"/>
      <c r="T14" s="453"/>
      <c r="U14" s="453"/>
      <c r="V14" s="453"/>
      <c r="W14" s="453"/>
    </row>
    <row r="15" spans="1:27" ht="17.100000000000001" customHeight="1" x14ac:dyDescent="0.2">
      <c r="A15" s="42">
        <v>5</v>
      </c>
      <c r="B15" s="164"/>
      <c r="C15" s="164"/>
      <c r="D15" s="165"/>
      <c r="E15" s="165"/>
      <c r="F15" s="165"/>
      <c r="G15" s="164"/>
      <c r="H15" s="352">
        <v>1</v>
      </c>
      <c r="I15" s="295">
        <f>IF(G15="x",0,D15*E15*H15*Übersicht!$H$11/1000*Übersicht!$C$12/12*0.7)</f>
        <v>0</v>
      </c>
      <c r="J15" s="178">
        <f t="shared" si="0"/>
        <v>0</v>
      </c>
      <c r="K15" s="383"/>
      <c r="L15" s="383"/>
      <c r="M15" s="453"/>
      <c r="N15" s="453"/>
      <c r="O15" s="453"/>
      <c r="P15" s="453"/>
      <c r="Q15" s="453"/>
      <c r="R15" s="453"/>
      <c r="S15" s="453"/>
      <c r="T15" s="453"/>
      <c r="U15" s="453"/>
      <c r="V15" s="453"/>
      <c r="W15" s="453"/>
    </row>
    <row r="16" spans="1:27" ht="17.100000000000001" customHeight="1" x14ac:dyDescent="0.2">
      <c r="A16" s="42">
        <v>6</v>
      </c>
      <c r="B16" s="164"/>
      <c r="C16" s="164"/>
      <c r="D16" s="165"/>
      <c r="E16" s="165"/>
      <c r="F16" s="165"/>
      <c r="G16" s="164"/>
      <c r="H16" s="352">
        <v>1</v>
      </c>
      <c r="I16" s="295">
        <f>IF(G16="x",0,D16*E16*H16*Übersicht!$H$11/1000*Übersicht!$C$12/12*0.7)</f>
        <v>0</v>
      </c>
      <c r="J16" s="178">
        <f t="shared" si="0"/>
        <v>0</v>
      </c>
      <c r="K16" s="383"/>
      <c r="L16" s="383"/>
      <c r="M16" s="453"/>
      <c r="N16" s="453"/>
      <c r="O16" s="453"/>
      <c r="P16" s="453"/>
      <c r="Q16" s="453"/>
      <c r="R16" s="453"/>
      <c r="S16" s="453"/>
      <c r="T16" s="453"/>
      <c r="U16" s="453"/>
      <c r="V16" s="453"/>
      <c r="W16" s="453"/>
    </row>
    <row r="17" spans="1:27" ht="17.100000000000001" customHeight="1" thickBot="1" x14ac:dyDescent="0.25">
      <c r="A17" s="42">
        <v>7</v>
      </c>
      <c r="B17" s="164"/>
      <c r="C17" s="164"/>
      <c r="D17" s="165"/>
      <c r="E17" s="165"/>
      <c r="F17" s="165"/>
      <c r="G17" s="164"/>
      <c r="H17" s="352">
        <v>1</v>
      </c>
      <c r="I17" s="295">
        <f>IF(G17="x",0,D17*E17*H17*Übersicht!$H$11/1000*Übersicht!$C$12/12*0.7)</f>
        <v>0</v>
      </c>
      <c r="J17" s="178">
        <f t="shared" si="0"/>
        <v>0</v>
      </c>
      <c r="K17" s="383"/>
      <c r="L17" s="383"/>
      <c r="M17" s="453"/>
      <c r="N17" s="453"/>
      <c r="O17" s="453"/>
      <c r="P17" s="453"/>
      <c r="Q17" s="453"/>
      <c r="R17" s="453"/>
      <c r="S17" s="453"/>
      <c r="T17" s="453"/>
      <c r="U17" s="453"/>
      <c r="V17" s="453"/>
      <c r="W17" s="453"/>
    </row>
    <row r="18" spans="1:27" ht="21" customHeight="1" thickBot="1" x14ac:dyDescent="0.25">
      <c r="A18" s="677"/>
      <c r="B18" s="599"/>
      <c r="C18" s="599"/>
      <c r="D18" s="599"/>
      <c r="E18" s="599"/>
      <c r="F18" s="599"/>
      <c r="G18" s="599"/>
      <c r="H18" s="390" t="s">
        <v>232</v>
      </c>
      <c r="I18" s="269">
        <f>SUM(I11:I17)</f>
        <v>0</v>
      </c>
      <c r="J18" s="270">
        <f>SUM(J11:J17)</f>
        <v>0</v>
      </c>
      <c r="K18" s="453"/>
      <c r="L18" s="383"/>
      <c r="M18" s="383"/>
      <c r="N18" s="453"/>
      <c r="O18" s="453"/>
      <c r="P18" s="453"/>
      <c r="Q18" s="453"/>
      <c r="R18" s="453"/>
      <c r="S18" s="453"/>
      <c r="T18" s="453"/>
      <c r="U18" s="453"/>
      <c r="V18" s="453"/>
      <c r="W18" s="453"/>
    </row>
    <row r="19" spans="1:27" x14ac:dyDescent="0.2">
      <c r="A19" s="453"/>
      <c r="B19" s="391" t="s">
        <v>233</v>
      </c>
      <c r="C19" s="392" t="e">
        <f>Übersicht!#REF!</f>
        <v>#REF!</v>
      </c>
      <c r="D19" s="453"/>
      <c r="E19" s="453"/>
      <c r="F19" s="453"/>
      <c r="G19" s="453"/>
      <c r="H19" s="453"/>
      <c r="I19" s="453"/>
      <c r="J19" s="453"/>
      <c r="K19" s="471"/>
      <c r="L19" s="471"/>
      <c r="M19" s="471"/>
      <c r="N19" s="471"/>
      <c r="O19" s="471"/>
      <c r="P19" s="471"/>
      <c r="Q19" s="471"/>
      <c r="R19" s="471"/>
      <c r="S19" s="471"/>
      <c r="T19" s="471"/>
      <c r="U19" s="471"/>
      <c r="V19" s="471"/>
      <c r="W19" s="455"/>
      <c r="X19" s="480"/>
      <c r="Y19" s="480"/>
      <c r="Z19" s="460"/>
      <c r="AA19" s="460"/>
    </row>
    <row r="20" spans="1:27" ht="13.5" customHeight="1" thickBot="1" x14ac:dyDescent="0.25">
      <c r="A20" s="676" t="s">
        <v>234</v>
      </c>
      <c r="B20" s="654"/>
      <c r="C20" s="654"/>
      <c r="D20" s="654"/>
      <c r="E20" s="654"/>
      <c r="F20" s="654"/>
      <c r="G20" s="654"/>
      <c r="H20" s="654"/>
      <c r="I20" s="654"/>
      <c r="J20" s="393"/>
      <c r="K20" s="383"/>
      <c r="L20" s="383"/>
      <c r="M20" s="453"/>
      <c r="N20" s="453"/>
      <c r="O20" s="453"/>
      <c r="P20" s="453"/>
      <c r="Q20" s="453"/>
      <c r="R20" s="453"/>
      <c r="S20" s="453"/>
      <c r="T20" s="453"/>
      <c r="U20" s="453"/>
      <c r="V20" s="453"/>
      <c r="W20" s="453"/>
    </row>
    <row r="21" spans="1:27" ht="54" customHeight="1" x14ac:dyDescent="0.2">
      <c r="A21" s="384" t="s">
        <v>227</v>
      </c>
      <c r="B21" s="41" t="s">
        <v>175</v>
      </c>
      <c r="C21" s="41" t="s">
        <v>176</v>
      </c>
      <c r="D21" s="376" t="s">
        <v>192</v>
      </c>
      <c r="E21" s="376" t="s">
        <v>209</v>
      </c>
      <c r="F21" s="41" t="s">
        <v>228</v>
      </c>
      <c r="G21" s="41" t="s">
        <v>229</v>
      </c>
      <c r="H21" s="41" t="s">
        <v>230</v>
      </c>
      <c r="I21" s="41" t="s">
        <v>231</v>
      </c>
      <c r="J21" s="377" t="s">
        <v>186</v>
      </c>
      <c r="K21" s="383"/>
      <c r="L21" s="383"/>
      <c r="M21" s="453"/>
      <c r="N21" s="453"/>
      <c r="O21" s="453"/>
      <c r="P21" s="453"/>
      <c r="Q21" s="453"/>
      <c r="R21" s="453"/>
      <c r="S21" s="453"/>
      <c r="T21" s="453"/>
      <c r="U21" s="453"/>
      <c r="V21" s="453"/>
      <c r="W21" s="453"/>
    </row>
    <row r="22" spans="1:27" ht="17.100000000000001" customHeight="1" thickBot="1" x14ac:dyDescent="0.25">
      <c r="A22" s="385"/>
      <c r="B22" s="297"/>
      <c r="C22" s="297"/>
      <c r="D22" s="386" t="s">
        <v>188</v>
      </c>
      <c r="E22" s="387" t="s">
        <v>188</v>
      </c>
      <c r="F22" s="297" t="s">
        <v>188</v>
      </c>
      <c r="G22" s="297" t="s">
        <v>195</v>
      </c>
      <c r="H22" s="297"/>
      <c r="I22" s="297" t="s">
        <v>149</v>
      </c>
      <c r="J22" s="389" t="s">
        <v>149</v>
      </c>
      <c r="K22" s="383"/>
      <c r="L22" s="383"/>
      <c r="M22" s="453"/>
      <c r="N22" s="453"/>
      <c r="O22" s="453"/>
      <c r="P22" s="453"/>
      <c r="Q22" s="453"/>
      <c r="R22" s="453"/>
      <c r="S22" s="453"/>
      <c r="T22" s="453"/>
      <c r="U22" s="453"/>
      <c r="V22" s="453"/>
      <c r="W22" s="453"/>
    </row>
    <row r="23" spans="1:27" ht="17.100000000000001" customHeight="1" x14ac:dyDescent="0.2">
      <c r="A23" s="296">
        <v>1</v>
      </c>
      <c r="B23" s="286"/>
      <c r="C23" s="286"/>
      <c r="D23" s="166"/>
      <c r="E23" s="166"/>
      <c r="F23" s="166"/>
      <c r="G23" s="286"/>
      <c r="H23" s="286">
        <v>1</v>
      </c>
      <c r="I23" s="295">
        <f>IF(G23="x",0,D23*E23*H23*Übersicht!$H$11/1000*Übersicht!$C$12/12*0.7)</f>
        <v>0</v>
      </c>
      <c r="J23" s="168">
        <f t="shared" ref="J23:J28" si="1">D23*E23*F23</f>
        <v>0</v>
      </c>
      <c r="K23" s="383"/>
      <c r="L23" s="383"/>
      <c r="M23" s="453"/>
      <c r="N23" s="453"/>
      <c r="O23" s="453"/>
      <c r="P23" s="453"/>
      <c r="Q23" s="453"/>
      <c r="R23" s="453"/>
      <c r="S23" s="453"/>
      <c r="T23" s="453"/>
      <c r="U23" s="453"/>
      <c r="V23" s="453"/>
      <c r="W23" s="453"/>
    </row>
    <row r="24" spans="1:27" ht="17.100000000000001" customHeight="1" x14ac:dyDescent="0.2">
      <c r="A24" s="42">
        <v>2</v>
      </c>
      <c r="B24" s="164"/>
      <c r="C24" s="164"/>
      <c r="D24" s="165"/>
      <c r="E24" s="165"/>
      <c r="F24" s="165"/>
      <c r="G24" s="164"/>
      <c r="H24" s="164">
        <v>1</v>
      </c>
      <c r="I24" s="177">
        <f>IF(G24="x",0,D24*E24*H24*Übersicht!$H$11/1000*Übersicht!$C$12/12*0.7)</f>
        <v>0</v>
      </c>
      <c r="J24" s="178">
        <f t="shared" si="1"/>
        <v>0</v>
      </c>
      <c r="K24" s="383"/>
      <c r="L24" s="383"/>
      <c r="M24" s="453"/>
      <c r="N24" s="453"/>
      <c r="O24" s="453"/>
      <c r="P24" s="453"/>
      <c r="Q24" s="453"/>
      <c r="R24" s="453"/>
      <c r="S24" s="453"/>
      <c r="T24" s="453"/>
      <c r="U24" s="453"/>
      <c r="V24" s="453"/>
      <c r="W24" s="453"/>
    </row>
    <row r="25" spans="1:27" ht="17.100000000000001" customHeight="1" x14ac:dyDescent="0.2">
      <c r="A25" s="42">
        <v>3</v>
      </c>
      <c r="B25" s="164"/>
      <c r="C25" s="164"/>
      <c r="D25" s="165"/>
      <c r="E25" s="165"/>
      <c r="F25" s="165"/>
      <c r="G25" s="164"/>
      <c r="H25" s="164">
        <v>1</v>
      </c>
      <c r="I25" s="177">
        <f>IF(G25="x",0,D25*E25*H25*Übersicht!$H$11/1000*Übersicht!$C$12/12*0.7)</f>
        <v>0</v>
      </c>
      <c r="J25" s="178">
        <f t="shared" si="1"/>
        <v>0</v>
      </c>
      <c r="K25" s="383"/>
      <c r="L25" s="383"/>
      <c r="M25" s="453"/>
      <c r="N25" s="453"/>
      <c r="O25" s="453"/>
      <c r="P25" s="453"/>
      <c r="Q25" s="453"/>
      <c r="R25" s="453"/>
      <c r="S25" s="453"/>
      <c r="T25" s="453"/>
      <c r="U25" s="453"/>
      <c r="V25" s="453"/>
      <c r="W25" s="453"/>
    </row>
    <row r="26" spans="1:27" ht="17.100000000000001" customHeight="1" x14ac:dyDescent="0.2">
      <c r="A26" s="42">
        <v>4</v>
      </c>
      <c r="B26" s="164"/>
      <c r="C26" s="164"/>
      <c r="D26" s="165"/>
      <c r="E26" s="165"/>
      <c r="F26" s="165"/>
      <c r="G26" s="164"/>
      <c r="H26" s="164">
        <v>1</v>
      </c>
      <c r="I26" s="177">
        <f>IF(G26="x",0,D26*E26*H26*Übersicht!$H$11/1000*Übersicht!$C$12/12*0.7)</f>
        <v>0</v>
      </c>
      <c r="J26" s="178">
        <f t="shared" si="1"/>
        <v>0</v>
      </c>
      <c r="K26" s="383"/>
      <c r="L26" s="383"/>
      <c r="M26" s="453"/>
      <c r="N26" s="453"/>
      <c r="O26" s="453"/>
      <c r="P26" s="453"/>
      <c r="Q26" s="453"/>
      <c r="R26" s="453"/>
      <c r="S26" s="453"/>
      <c r="T26" s="453"/>
      <c r="U26" s="453"/>
      <c r="V26" s="453"/>
      <c r="W26" s="453"/>
    </row>
    <row r="27" spans="1:27" ht="17.100000000000001" customHeight="1" x14ac:dyDescent="0.2">
      <c r="A27" s="42">
        <v>5</v>
      </c>
      <c r="B27" s="164"/>
      <c r="C27" s="164"/>
      <c r="D27" s="165"/>
      <c r="E27" s="165"/>
      <c r="F27" s="165"/>
      <c r="G27" s="164"/>
      <c r="H27" s="164">
        <v>1</v>
      </c>
      <c r="I27" s="177">
        <f>IF(G27="x",0,D27*E27*H27*Übersicht!$H$11/1000*Übersicht!$C$12/12*0.7)</f>
        <v>0</v>
      </c>
      <c r="J27" s="178">
        <f t="shared" si="1"/>
        <v>0</v>
      </c>
      <c r="K27" s="383"/>
      <c r="L27" s="383"/>
      <c r="M27" s="453"/>
      <c r="N27" s="453"/>
      <c r="O27" s="453"/>
      <c r="P27" s="453"/>
      <c r="Q27" s="453"/>
      <c r="R27" s="453"/>
      <c r="S27" s="453"/>
      <c r="T27" s="453"/>
      <c r="U27" s="453"/>
      <c r="V27" s="453"/>
      <c r="W27" s="453"/>
    </row>
    <row r="28" spans="1:27" ht="17.100000000000001" customHeight="1" thickBot="1" x14ac:dyDescent="0.25">
      <c r="A28" s="42">
        <v>6</v>
      </c>
      <c r="B28" s="164"/>
      <c r="C28" s="164"/>
      <c r="D28" s="165"/>
      <c r="E28" s="165"/>
      <c r="F28" s="165"/>
      <c r="G28" s="164"/>
      <c r="H28" s="272">
        <v>1</v>
      </c>
      <c r="I28" s="177">
        <f>IF(G28="x",0,D28*E28*H28*Übersicht!$H$11/1000*Übersicht!$C$12/12*0.7)</f>
        <v>0</v>
      </c>
      <c r="J28" s="179">
        <f t="shared" si="1"/>
        <v>0</v>
      </c>
      <c r="K28" s="383"/>
      <c r="L28" s="383"/>
      <c r="M28" s="453"/>
      <c r="N28" s="453"/>
      <c r="O28" s="453"/>
      <c r="P28" s="453"/>
      <c r="Q28" s="453"/>
      <c r="R28" s="453"/>
      <c r="S28" s="453"/>
      <c r="T28" s="453"/>
      <c r="U28" s="453"/>
      <c r="V28" s="453"/>
      <c r="W28" s="453"/>
    </row>
    <row r="29" spans="1:27" ht="21" customHeight="1" thickBot="1" x14ac:dyDescent="0.25">
      <c r="A29" s="679" t="s">
        <v>235</v>
      </c>
      <c r="B29" s="599"/>
      <c r="C29" s="599"/>
      <c r="D29" s="599"/>
      <c r="E29" s="599"/>
      <c r="F29" s="599"/>
      <c r="G29" s="599"/>
      <c r="H29" s="390" t="s">
        <v>232</v>
      </c>
      <c r="I29" s="271">
        <f>SUM(I23:I28)</f>
        <v>0</v>
      </c>
      <c r="J29" s="180">
        <f>SUM(J23:J28)</f>
        <v>0</v>
      </c>
      <c r="K29" s="383"/>
      <c r="L29" s="383"/>
      <c r="M29" s="453"/>
      <c r="N29" s="453"/>
      <c r="O29" s="453"/>
      <c r="P29" s="453"/>
      <c r="Q29" s="453"/>
      <c r="R29" s="453"/>
      <c r="S29" s="453"/>
      <c r="T29" s="453"/>
      <c r="U29" s="453"/>
      <c r="V29" s="453"/>
      <c r="W29" s="453"/>
    </row>
    <row r="30" spans="1:27" x14ac:dyDescent="0.2">
      <c r="A30" s="111"/>
      <c r="B30" s="678" t="s">
        <v>236</v>
      </c>
      <c r="C30" s="560"/>
      <c r="D30" s="560"/>
      <c r="E30" s="560"/>
      <c r="F30" s="560"/>
      <c r="G30" s="560"/>
      <c r="H30" s="560"/>
      <c r="I30" s="560"/>
      <c r="J30" s="112"/>
      <c r="K30" s="112"/>
      <c r="L30" s="112"/>
      <c r="M30" s="87"/>
      <c r="N30" s="114"/>
      <c r="O30" s="87"/>
      <c r="P30" s="87"/>
      <c r="Q30" s="87"/>
      <c r="R30" s="87"/>
      <c r="S30" s="114"/>
      <c r="T30" s="453"/>
      <c r="U30" s="453"/>
      <c r="V30" s="453"/>
      <c r="W30" s="453"/>
    </row>
    <row r="31" spans="1:27" x14ac:dyDescent="0.2">
      <c r="A31" s="111"/>
      <c r="B31" s="560"/>
      <c r="C31" s="560"/>
      <c r="D31" s="560"/>
      <c r="E31" s="560"/>
      <c r="F31" s="560"/>
      <c r="G31" s="560"/>
      <c r="H31" s="560"/>
      <c r="I31" s="560"/>
      <c r="J31" s="112"/>
      <c r="K31" s="112"/>
      <c r="L31" s="112"/>
      <c r="M31" s="87"/>
      <c r="N31" s="114"/>
      <c r="O31" s="87"/>
      <c r="P31" s="87"/>
      <c r="Q31" s="87"/>
      <c r="R31" s="87"/>
      <c r="S31" s="114"/>
      <c r="T31" s="453"/>
      <c r="U31" s="453"/>
      <c r="V31" s="453"/>
      <c r="W31" s="453"/>
    </row>
    <row r="32" spans="1:27" x14ac:dyDescent="0.2">
      <c r="A32" s="111"/>
      <c r="B32" s="560"/>
      <c r="C32" s="560"/>
      <c r="D32" s="560"/>
      <c r="E32" s="560"/>
      <c r="F32" s="560"/>
      <c r="G32" s="560"/>
      <c r="H32" s="560"/>
      <c r="I32" s="560"/>
      <c r="J32" s="112"/>
      <c r="K32" s="112"/>
      <c r="L32" s="112"/>
      <c r="M32" s="87"/>
      <c r="N32" s="114"/>
      <c r="O32" s="87"/>
      <c r="P32" s="87"/>
      <c r="Q32" s="87"/>
      <c r="R32" s="87"/>
      <c r="S32" s="114"/>
      <c r="T32" s="453"/>
      <c r="U32" s="453"/>
      <c r="V32" s="453"/>
      <c r="W32" s="453"/>
    </row>
    <row r="33" spans="1:19" x14ac:dyDescent="0.2">
      <c r="A33" s="441"/>
      <c r="B33" s="445"/>
      <c r="C33" s="441"/>
      <c r="D33" s="441"/>
      <c r="E33" s="441"/>
      <c r="F33" s="441"/>
      <c r="G33" s="441"/>
      <c r="H33" s="433"/>
      <c r="I33" s="433"/>
      <c r="J33" s="433"/>
      <c r="K33" s="433"/>
      <c r="L33" s="433"/>
      <c r="M33" s="423"/>
      <c r="N33" s="435"/>
      <c r="O33" s="423"/>
      <c r="P33" s="423"/>
      <c r="Q33" s="423"/>
      <c r="R33" s="423"/>
      <c r="S33" s="435"/>
    </row>
    <row r="34" spans="1:19" x14ac:dyDescent="0.2">
      <c r="A34" s="441"/>
      <c r="B34" s="445"/>
      <c r="C34" s="441"/>
      <c r="D34" s="441"/>
      <c r="E34" s="441"/>
      <c r="F34" s="441"/>
      <c r="G34" s="441"/>
      <c r="H34" s="433"/>
      <c r="I34" s="433"/>
      <c r="J34" s="433"/>
      <c r="K34" s="433"/>
      <c r="L34" s="433"/>
      <c r="M34" s="423"/>
      <c r="N34" s="435"/>
      <c r="O34" s="423"/>
      <c r="P34" s="423"/>
      <c r="Q34" s="423"/>
      <c r="R34" s="423"/>
      <c r="S34" s="435"/>
    </row>
    <row r="35" spans="1:19" x14ac:dyDescent="0.2">
      <c r="A35" s="441"/>
      <c r="B35" s="445"/>
      <c r="C35" s="441"/>
      <c r="D35" s="441"/>
      <c r="E35" s="441"/>
      <c r="F35" s="441"/>
      <c r="G35" s="441"/>
      <c r="H35" s="433"/>
      <c r="I35" s="433"/>
      <c r="J35" s="433"/>
      <c r="K35" s="433"/>
      <c r="L35" s="433"/>
      <c r="M35" s="423"/>
      <c r="N35" s="435"/>
      <c r="O35" s="423"/>
      <c r="P35" s="423"/>
      <c r="Q35" s="423"/>
      <c r="R35" s="423"/>
      <c r="S35" s="435"/>
    </row>
    <row r="36" spans="1:19" x14ac:dyDescent="0.2">
      <c r="A36" s="441"/>
      <c r="B36" s="445"/>
      <c r="C36" s="441"/>
      <c r="D36" s="441"/>
      <c r="E36" s="441"/>
      <c r="F36" s="441"/>
      <c r="G36" s="441"/>
      <c r="H36" s="433"/>
      <c r="I36" s="433"/>
      <c r="J36" s="433"/>
      <c r="K36" s="433"/>
      <c r="L36" s="433"/>
      <c r="M36" s="423"/>
      <c r="N36" s="435"/>
      <c r="O36" s="423"/>
      <c r="P36" s="423"/>
      <c r="Q36" s="423"/>
      <c r="R36" s="423"/>
      <c r="S36" s="435"/>
    </row>
    <row r="37" spans="1:19" x14ac:dyDescent="0.2">
      <c r="A37" s="441"/>
      <c r="B37" s="445"/>
      <c r="C37" s="441"/>
      <c r="D37" s="441"/>
      <c r="E37" s="441"/>
      <c r="F37" s="441"/>
      <c r="G37" s="441"/>
      <c r="H37" s="433"/>
      <c r="I37" s="433"/>
      <c r="J37" s="433"/>
      <c r="K37" s="433"/>
      <c r="L37" s="433"/>
      <c r="M37" s="423"/>
      <c r="N37" s="435"/>
      <c r="O37" s="423"/>
      <c r="P37" s="423"/>
      <c r="Q37" s="423"/>
      <c r="R37" s="423"/>
      <c r="S37" s="435"/>
    </row>
    <row r="38" spans="1:19" x14ac:dyDescent="0.2">
      <c r="A38" s="441"/>
      <c r="B38" s="445"/>
      <c r="C38" s="433"/>
      <c r="D38" s="433"/>
      <c r="E38" s="441"/>
      <c r="F38" s="441"/>
      <c r="G38" s="441"/>
      <c r="H38" s="441"/>
      <c r="I38" s="433"/>
      <c r="J38" s="433"/>
      <c r="K38" s="433"/>
      <c r="L38" s="441"/>
      <c r="M38" s="423"/>
      <c r="N38" s="435"/>
      <c r="O38" s="423"/>
      <c r="P38" s="423"/>
      <c r="Q38" s="423"/>
      <c r="R38" s="423"/>
      <c r="S38" s="435"/>
    </row>
    <row r="39" spans="1:19" ht="15" customHeight="1" x14ac:dyDescent="0.25">
      <c r="A39" s="5"/>
      <c r="B39" s="445"/>
      <c r="C39" s="433"/>
      <c r="D39" s="433"/>
      <c r="E39" s="433"/>
      <c r="F39" s="433"/>
      <c r="G39" s="433"/>
      <c r="H39" s="433"/>
      <c r="I39" s="433"/>
      <c r="J39" s="433"/>
      <c r="K39" s="433"/>
      <c r="L39" s="433"/>
      <c r="M39" s="423"/>
      <c r="N39" s="435"/>
      <c r="O39" s="423"/>
      <c r="P39" s="423"/>
      <c r="Q39" s="423"/>
      <c r="R39" s="423"/>
      <c r="S39" s="435"/>
    </row>
    <row r="40" spans="1:19" x14ac:dyDescent="0.2">
      <c r="A40" s="441"/>
      <c r="B40" s="445"/>
      <c r="C40" s="441"/>
      <c r="D40" s="441"/>
      <c r="E40" s="433"/>
      <c r="F40" s="433"/>
      <c r="G40" s="433"/>
      <c r="H40" s="426"/>
      <c r="I40" s="433"/>
      <c r="J40" s="433"/>
      <c r="K40" s="433"/>
      <c r="L40" s="426"/>
      <c r="M40" s="423"/>
      <c r="N40" s="435"/>
      <c r="O40" s="423"/>
      <c r="P40" s="423"/>
      <c r="Q40" s="423"/>
      <c r="R40" s="423"/>
      <c r="S40" s="435"/>
    </row>
    <row r="41" spans="1:19" x14ac:dyDescent="0.2">
      <c r="A41" s="441"/>
      <c r="B41" s="445"/>
      <c r="C41" s="441"/>
      <c r="D41" s="441"/>
      <c r="E41" s="441"/>
      <c r="F41" s="441"/>
      <c r="G41" s="441"/>
      <c r="H41" s="433"/>
      <c r="I41" s="433"/>
      <c r="J41" s="433"/>
      <c r="K41" s="433"/>
      <c r="L41" s="433"/>
      <c r="M41" s="427"/>
      <c r="N41" s="435"/>
      <c r="O41" s="427"/>
      <c r="P41" s="427"/>
      <c r="Q41" s="427"/>
      <c r="R41" s="427"/>
      <c r="S41" s="435"/>
    </row>
    <row r="42" spans="1:19" x14ac:dyDescent="0.2">
      <c r="A42" s="441"/>
      <c r="B42" s="445"/>
      <c r="C42" s="441"/>
      <c r="D42" s="441"/>
      <c r="E42" s="441"/>
      <c r="F42" s="441"/>
      <c r="G42" s="441"/>
      <c r="H42" s="441"/>
      <c r="I42" s="441"/>
      <c r="J42" s="441"/>
      <c r="K42" s="433"/>
      <c r="L42" s="441"/>
      <c r="M42" s="428"/>
      <c r="N42" s="435"/>
      <c r="O42" s="428"/>
      <c r="P42" s="428"/>
      <c r="Q42" s="428"/>
      <c r="R42" s="428"/>
      <c r="S42" s="435"/>
    </row>
    <row r="43" spans="1:19" ht="15" customHeight="1" x14ac:dyDescent="0.25">
      <c r="A43" s="5"/>
      <c r="B43" s="445"/>
      <c r="C43" s="441"/>
      <c r="D43" s="441"/>
      <c r="E43" s="441"/>
      <c r="F43" s="441"/>
      <c r="G43" s="441"/>
      <c r="H43" s="441"/>
      <c r="I43" s="433"/>
      <c r="J43" s="433"/>
      <c r="K43" s="441"/>
      <c r="L43" s="441"/>
      <c r="M43" s="423"/>
      <c r="N43" s="435"/>
      <c r="O43" s="423"/>
      <c r="P43" s="423"/>
      <c r="Q43" s="423"/>
      <c r="R43" s="423"/>
      <c r="S43" s="435"/>
    </row>
    <row r="44" spans="1:19" x14ac:dyDescent="0.2">
      <c r="A44" s="441"/>
      <c r="B44" s="445"/>
      <c r="C44" s="429"/>
      <c r="D44" s="429"/>
      <c r="E44" s="441"/>
      <c r="F44" s="441"/>
      <c r="G44" s="441"/>
      <c r="H44" s="429"/>
      <c r="I44" s="426"/>
      <c r="J44" s="426"/>
      <c r="K44" s="433"/>
      <c r="L44" s="429"/>
      <c r="M44" s="430"/>
      <c r="N44" s="435"/>
      <c r="O44" s="430"/>
      <c r="P44" s="430"/>
      <c r="Q44" s="430"/>
      <c r="R44" s="430"/>
      <c r="S44" s="435"/>
    </row>
    <row r="45" spans="1:19" x14ac:dyDescent="0.2">
      <c r="A45" s="441"/>
      <c r="B45" s="445"/>
      <c r="C45" s="441"/>
      <c r="D45" s="441"/>
      <c r="E45" s="429"/>
      <c r="F45" s="429"/>
      <c r="G45" s="429"/>
      <c r="I45" s="433"/>
      <c r="J45" s="433"/>
      <c r="K45" s="426"/>
      <c r="M45" s="431"/>
      <c r="N45" s="435"/>
      <c r="O45" s="431"/>
      <c r="P45" s="431"/>
      <c r="Q45" s="431"/>
      <c r="R45" s="431"/>
      <c r="S45" s="435"/>
    </row>
    <row r="46" spans="1:19" ht="15" customHeight="1" x14ac:dyDescent="0.25">
      <c r="A46" s="5"/>
      <c r="B46" s="440"/>
      <c r="C46" s="441"/>
      <c r="D46" s="441"/>
      <c r="E46" s="441"/>
      <c r="F46" s="441"/>
      <c r="G46" s="441"/>
      <c r="H46" s="433"/>
      <c r="I46" s="441"/>
      <c r="J46" s="441"/>
      <c r="K46" s="433"/>
      <c r="L46" s="433"/>
      <c r="M46" s="423"/>
      <c r="N46" s="435"/>
      <c r="O46" s="423"/>
      <c r="P46" s="423"/>
      <c r="Q46" s="423"/>
      <c r="R46" s="423"/>
      <c r="S46" s="435"/>
    </row>
    <row r="47" spans="1:19" x14ac:dyDescent="0.2">
      <c r="A47" s="445"/>
      <c r="B47" s="445"/>
      <c r="C47" s="441"/>
      <c r="D47" s="441"/>
      <c r="E47" s="441"/>
      <c r="F47" s="441"/>
      <c r="G47" s="441"/>
      <c r="H47" s="441"/>
      <c r="I47" s="441"/>
      <c r="J47" s="441"/>
      <c r="K47" s="441"/>
      <c r="L47" s="441"/>
      <c r="M47" s="432"/>
      <c r="N47" s="435"/>
      <c r="O47" s="432"/>
      <c r="P47" s="432"/>
      <c r="Q47" s="432"/>
      <c r="R47" s="432"/>
      <c r="S47" s="435"/>
    </row>
    <row r="48" spans="1:19" x14ac:dyDescent="0.2">
      <c r="A48" s="441"/>
      <c r="B48" s="442"/>
      <c r="C48" s="441"/>
      <c r="D48" s="441"/>
      <c r="E48" s="441"/>
      <c r="F48" s="441"/>
      <c r="G48" s="441"/>
      <c r="H48" s="433"/>
      <c r="I48" s="429"/>
      <c r="J48" s="429"/>
      <c r="K48" s="441"/>
      <c r="L48" s="433"/>
      <c r="M48" s="434"/>
      <c r="N48" s="435"/>
      <c r="O48" s="434"/>
      <c r="P48" s="434"/>
      <c r="Q48" s="434"/>
      <c r="R48" s="434"/>
      <c r="S48" s="435"/>
    </row>
    <row r="49" spans="1:19" x14ac:dyDescent="0.2">
      <c r="A49" s="7"/>
      <c r="B49" s="442"/>
      <c r="C49" s="441"/>
      <c r="D49" s="441"/>
      <c r="E49" s="441"/>
      <c r="F49" s="441"/>
      <c r="G49" s="441"/>
      <c r="H49" s="433"/>
      <c r="K49" s="429"/>
      <c r="L49" s="433"/>
      <c r="M49" s="434"/>
      <c r="N49" s="435"/>
      <c r="O49" s="434"/>
      <c r="P49" s="434"/>
      <c r="Q49" s="434"/>
      <c r="R49" s="434"/>
      <c r="S49" s="435"/>
    </row>
    <row r="50" spans="1:19" x14ac:dyDescent="0.2">
      <c r="A50" s="1"/>
      <c r="B50" s="442"/>
      <c r="C50" s="441"/>
      <c r="D50" s="441"/>
      <c r="E50" s="441"/>
      <c r="F50" s="441"/>
      <c r="G50" s="441"/>
      <c r="H50" s="433"/>
      <c r="I50" s="433"/>
      <c r="J50" s="433"/>
      <c r="L50" s="433"/>
      <c r="M50" s="434"/>
      <c r="N50" s="435"/>
      <c r="O50" s="434"/>
      <c r="P50" s="434"/>
      <c r="Q50" s="434"/>
      <c r="R50" s="434"/>
      <c r="S50" s="435"/>
    </row>
    <row r="51" spans="1:19" x14ac:dyDescent="0.2">
      <c r="A51" s="1"/>
      <c r="B51" s="442"/>
      <c r="C51" s="441"/>
      <c r="D51" s="441"/>
      <c r="E51" s="441"/>
      <c r="F51" s="441"/>
      <c r="G51" s="441"/>
      <c r="H51" s="433"/>
      <c r="I51" s="441"/>
      <c r="J51" s="441"/>
      <c r="K51" s="433"/>
      <c r="L51" s="433"/>
      <c r="M51" s="434"/>
      <c r="N51" s="435"/>
      <c r="O51" s="434"/>
      <c r="P51" s="434"/>
      <c r="Q51" s="434"/>
      <c r="R51" s="434"/>
      <c r="S51" s="435"/>
    </row>
    <row r="52" spans="1:19" x14ac:dyDescent="0.2">
      <c r="A52" s="441"/>
      <c r="B52" s="445"/>
      <c r="C52" s="441"/>
      <c r="D52" s="441"/>
      <c r="E52" s="441"/>
      <c r="F52" s="441"/>
      <c r="G52" s="441"/>
      <c r="H52" s="433"/>
      <c r="I52" s="433"/>
      <c r="J52" s="433"/>
      <c r="K52" s="441"/>
      <c r="L52" s="433"/>
      <c r="M52" s="434"/>
      <c r="N52" s="436"/>
      <c r="O52" s="434"/>
      <c r="P52" s="434"/>
      <c r="Q52" s="434"/>
      <c r="R52" s="434"/>
      <c r="S52" s="436"/>
    </row>
    <row r="53" spans="1:19" x14ac:dyDescent="0.2">
      <c r="A53" s="441"/>
      <c r="B53" s="445"/>
      <c r="C53" s="441"/>
      <c r="D53" s="441"/>
      <c r="E53" s="441"/>
      <c r="F53" s="441"/>
      <c r="G53" s="441"/>
      <c r="H53" s="433"/>
      <c r="I53" s="433"/>
      <c r="J53" s="433"/>
      <c r="K53" s="433"/>
      <c r="L53" s="433"/>
      <c r="M53" s="434"/>
      <c r="N53" s="436"/>
      <c r="O53" s="434"/>
      <c r="P53" s="434"/>
      <c r="Q53" s="434"/>
      <c r="R53" s="434"/>
      <c r="S53" s="436"/>
    </row>
    <row r="54" spans="1:19" x14ac:dyDescent="0.2">
      <c r="A54" s="441"/>
      <c r="B54" s="446"/>
      <c r="C54" s="447"/>
      <c r="D54" s="447"/>
      <c r="E54" s="441"/>
      <c r="F54" s="441"/>
      <c r="G54" s="441"/>
      <c r="H54" s="433"/>
      <c r="I54" s="433"/>
      <c r="J54" s="433"/>
      <c r="K54" s="433"/>
      <c r="L54" s="433"/>
      <c r="M54" s="434"/>
      <c r="N54" s="437"/>
      <c r="O54" s="434"/>
      <c r="P54" s="434"/>
      <c r="Q54" s="434"/>
      <c r="R54" s="434"/>
      <c r="S54" s="437"/>
    </row>
    <row r="55" spans="1:19" x14ac:dyDescent="0.2">
      <c r="A55" s="448"/>
      <c r="B55" s="448"/>
      <c r="C55" s="439"/>
      <c r="D55" s="439"/>
      <c r="E55" s="447"/>
      <c r="F55" s="447"/>
      <c r="G55" s="447"/>
      <c r="H55" s="438"/>
      <c r="I55" s="433"/>
      <c r="J55" s="433"/>
      <c r="K55" s="433"/>
      <c r="L55" s="438"/>
      <c r="M55" s="439"/>
      <c r="N55" s="439"/>
      <c r="O55" s="439"/>
      <c r="P55" s="439"/>
      <c r="Q55" s="439"/>
      <c r="R55" s="439"/>
      <c r="S55" s="439"/>
    </row>
    <row r="56" spans="1:19" x14ac:dyDescent="0.2">
      <c r="A56" s="448"/>
      <c r="B56" s="448"/>
      <c r="C56" s="439"/>
      <c r="D56" s="439"/>
      <c r="E56" s="439"/>
      <c r="F56" s="439"/>
      <c r="G56" s="439"/>
      <c r="H56" s="439"/>
      <c r="I56" s="433"/>
      <c r="J56" s="433"/>
      <c r="K56" s="433"/>
      <c r="L56" s="439"/>
      <c r="M56" s="439"/>
      <c r="N56" s="439"/>
      <c r="O56" s="439"/>
      <c r="P56" s="439"/>
      <c r="Q56" s="439"/>
      <c r="R56" s="439"/>
      <c r="S56" s="439"/>
    </row>
    <row r="57" spans="1:19" x14ac:dyDescent="0.2">
      <c r="A57" s="448"/>
      <c r="B57" s="448"/>
      <c r="C57" s="439"/>
      <c r="D57" s="439"/>
      <c r="E57" s="439"/>
      <c r="F57" s="439"/>
      <c r="G57" s="439"/>
      <c r="H57" s="439"/>
      <c r="I57" s="433"/>
      <c r="J57" s="433"/>
      <c r="K57" s="433"/>
      <c r="L57" s="439"/>
      <c r="M57" s="439"/>
      <c r="N57" s="439"/>
      <c r="O57" s="439"/>
      <c r="P57" s="439"/>
      <c r="Q57" s="439"/>
      <c r="R57" s="439"/>
      <c r="S57" s="439"/>
    </row>
    <row r="58" spans="1:19" x14ac:dyDescent="0.2">
      <c r="A58" s="448"/>
      <c r="B58" s="448"/>
      <c r="C58" s="439"/>
      <c r="D58" s="439"/>
      <c r="E58" s="439"/>
      <c r="F58" s="439"/>
      <c r="G58" s="439"/>
      <c r="H58" s="439"/>
      <c r="I58" s="433"/>
      <c r="J58" s="433"/>
      <c r="K58" s="433"/>
      <c r="L58" s="439"/>
      <c r="M58" s="439"/>
      <c r="N58" s="439"/>
      <c r="O58" s="439"/>
      <c r="P58" s="439"/>
      <c r="Q58" s="439"/>
      <c r="R58" s="439"/>
      <c r="S58" s="439"/>
    </row>
    <row r="59" spans="1:19" x14ac:dyDescent="0.2">
      <c r="A59" s="448"/>
      <c r="B59" s="448"/>
      <c r="C59" s="439"/>
      <c r="D59" s="439"/>
      <c r="E59" s="439"/>
      <c r="F59" s="439"/>
      <c r="G59" s="439"/>
      <c r="H59" s="439"/>
      <c r="I59" s="438"/>
      <c r="J59" s="438"/>
      <c r="K59" s="433"/>
      <c r="L59" s="439"/>
      <c r="M59" s="439"/>
      <c r="N59" s="439"/>
      <c r="O59" s="439"/>
      <c r="P59" s="439"/>
      <c r="Q59" s="439"/>
      <c r="R59" s="439"/>
      <c r="S59" s="439"/>
    </row>
    <row r="60" spans="1:19" x14ac:dyDescent="0.2">
      <c r="A60" s="448"/>
      <c r="B60" s="448"/>
      <c r="C60" s="439"/>
      <c r="D60" s="439"/>
      <c r="E60" s="439"/>
      <c r="F60" s="439"/>
      <c r="G60" s="439"/>
      <c r="H60" s="439"/>
      <c r="I60" s="439"/>
      <c r="J60" s="439"/>
      <c r="K60" s="438"/>
      <c r="L60" s="439"/>
      <c r="M60" s="439"/>
      <c r="N60" s="439"/>
      <c r="O60" s="439"/>
      <c r="P60" s="439"/>
      <c r="Q60" s="439"/>
      <c r="R60" s="439"/>
      <c r="S60" s="439"/>
    </row>
    <row r="61" spans="1:19" x14ac:dyDescent="0.2">
      <c r="A61" s="448"/>
      <c r="B61" s="449"/>
      <c r="C61" s="450"/>
      <c r="D61" s="450"/>
      <c r="E61" s="439"/>
      <c r="F61" s="439"/>
      <c r="G61" s="439"/>
      <c r="H61" s="439"/>
      <c r="I61" s="439"/>
      <c r="J61" s="439"/>
      <c r="K61" s="439"/>
      <c r="L61" s="439"/>
      <c r="M61" s="439"/>
      <c r="N61" s="439"/>
      <c r="O61" s="439"/>
      <c r="P61" s="439"/>
      <c r="Q61" s="439"/>
      <c r="R61" s="439"/>
      <c r="S61" s="439"/>
    </row>
    <row r="62" spans="1:19" x14ac:dyDescent="0.2">
      <c r="A62" s="450"/>
      <c r="B62" s="451"/>
      <c r="C62" s="450"/>
      <c r="D62" s="450"/>
      <c r="E62" s="450"/>
      <c r="F62" s="450"/>
      <c r="G62" s="450"/>
      <c r="H62" s="443"/>
      <c r="I62" s="439"/>
      <c r="J62" s="439"/>
      <c r="K62" s="439"/>
      <c r="L62" s="443"/>
      <c r="M62" s="444"/>
      <c r="N62" s="444"/>
      <c r="O62" s="444"/>
      <c r="P62" s="444"/>
      <c r="Q62" s="444"/>
      <c r="R62" s="444"/>
      <c r="S62" s="444"/>
    </row>
    <row r="63" spans="1:19" x14ac:dyDescent="0.2">
      <c r="A63" s="450"/>
      <c r="B63" s="451"/>
      <c r="C63" s="450"/>
      <c r="D63" s="450"/>
      <c r="E63" s="450"/>
      <c r="F63" s="450"/>
      <c r="G63" s="450"/>
      <c r="H63" s="443"/>
      <c r="I63" s="439"/>
      <c r="J63" s="439"/>
      <c r="K63" s="439"/>
      <c r="L63" s="443"/>
      <c r="M63" s="444"/>
      <c r="N63" s="444"/>
      <c r="O63" s="444"/>
      <c r="P63" s="444"/>
      <c r="Q63" s="444"/>
      <c r="R63" s="444"/>
      <c r="S63" s="444"/>
    </row>
    <row r="64" spans="1:19" x14ac:dyDescent="0.2">
      <c r="A64" s="450"/>
      <c r="E64" s="450"/>
      <c r="F64" s="450"/>
      <c r="G64" s="450"/>
      <c r="H64" s="443"/>
      <c r="I64" s="439"/>
      <c r="J64" s="439"/>
      <c r="K64" s="439"/>
      <c r="L64" s="443"/>
      <c r="M64" s="444"/>
      <c r="N64" s="444"/>
      <c r="O64" s="444"/>
      <c r="P64" s="444"/>
      <c r="Q64" s="444"/>
      <c r="R64" s="444"/>
      <c r="S64" s="444"/>
    </row>
    <row r="65" spans="9:11" x14ac:dyDescent="0.2">
      <c r="I65" s="439"/>
      <c r="J65" s="439"/>
      <c r="K65" s="439"/>
    </row>
    <row r="66" spans="9:11" x14ac:dyDescent="0.2">
      <c r="I66" s="443"/>
      <c r="J66" s="443"/>
      <c r="K66" s="439"/>
    </row>
    <row r="67" spans="9:11" x14ac:dyDescent="0.2">
      <c r="I67" s="443"/>
      <c r="J67" s="443"/>
      <c r="K67" s="443"/>
    </row>
    <row r="68" spans="9:11" x14ac:dyDescent="0.2">
      <c r="I68" s="443"/>
      <c r="J68" s="443"/>
      <c r="K68" s="443"/>
    </row>
    <row r="69" spans="9:11" x14ac:dyDescent="0.2">
      <c r="K69" s="443"/>
    </row>
  </sheetData>
  <mergeCells count="12">
    <mergeCell ref="Y5:Y6"/>
    <mergeCell ref="B30:I32"/>
    <mergeCell ref="A8:I8"/>
    <mergeCell ref="A29:G29"/>
    <mergeCell ref="C6:I6"/>
    <mergeCell ref="A1:B1"/>
    <mergeCell ref="X5:X6"/>
    <mergeCell ref="A20:I20"/>
    <mergeCell ref="C5:I5"/>
    <mergeCell ref="A2:B2"/>
    <mergeCell ref="W5:W6"/>
    <mergeCell ref="A18:G18"/>
  </mergeCells>
  <printOptions horizontalCentered="1"/>
  <pageMargins left="0.19685039370078741" right="0.27559055118110237" top="0.59055118110236227" bottom="0.35433070866141742" header="0.19685039370078741" footer="0"/>
  <pageSetup paperSize="9" scale="69" orientation="landscape" r:id="rId1"/>
  <headerFooter alignWithMargins="0">
    <oddHeader>&amp;L
Arbeitskreis Bauen, Energie, Technik&amp;C&amp;P&amp;R&amp;G</oddHeader>
    <oddFooter>&amp;R&amp;F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R356"/>
  <sheetViews>
    <sheetView topLeftCell="A67" zoomScaleNormal="100" workbookViewId="0">
      <selection activeCell="H11" sqref="H11"/>
    </sheetView>
  </sheetViews>
  <sheetFormatPr baseColWidth="10" defaultRowHeight="12.75" x14ac:dyDescent="0.2"/>
  <cols>
    <col min="1" max="1" width="33.85546875" style="473" customWidth="1"/>
    <col min="2" max="17" width="0" style="473" hidden="1"/>
    <col min="18" max="18" width="11.42578125" style="411" customWidth="1"/>
  </cols>
  <sheetData>
    <row r="1" spans="1:18" x14ac:dyDescent="0.2">
      <c r="A1" s="136" t="s">
        <v>237</v>
      </c>
      <c r="B1" s="136" t="s">
        <v>238</v>
      </c>
      <c r="C1" s="136" t="s">
        <v>209</v>
      </c>
      <c r="D1" s="136" t="s">
        <v>192</v>
      </c>
      <c r="E1" s="136" t="s">
        <v>239</v>
      </c>
      <c r="F1" s="515" t="s">
        <v>240</v>
      </c>
      <c r="G1" s="515" t="s">
        <v>241</v>
      </c>
      <c r="H1" s="515" t="s">
        <v>242</v>
      </c>
      <c r="I1" s="515" t="s">
        <v>243</v>
      </c>
      <c r="J1" s="515" t="s">
        <v>244</v>
      </c>
      <c r="K1" s="515" t="s">
        <v>245</v>
      </c>
      <c r="L1" s="515" t="s">
        <v>246</v>
      </c>
      <c r="M1" s="515" t="s">
        <v>247</v>
      </c>
      <c r="N1" s="515" t="s">
        <v>248</v>
      </c>
      <c r="O1" s="515" t="s">
        <v>249</v>
      </c>
      <c r="P1" s="515" t="s">
        <v>250</v>
      </c>
      <c r="Q1" s="515" t="s">
        <v>251</v>
      </c>
      <c r="R1" s="137" t="s">
        <v>252</v>
      </c>
    </row>
    <row r="2" spans="1:18" x14ac:dyDescent="0.2">
      <c r="A2" t="s">
        <v>253</v>
      </c>
      <c r="B2" s="460">
        <v>138</v>
      </c>
      <c r="C2" s="460" t="s">
        <v>254</v>
      </c>
      <c r="D2" s="460" t="s">
        <v>255</v>
      </c>
      <c r="E2" t="s">
        <v>256</v>
      </c>
      <c r="F2" s="516">
        <v>61.9</v>
      </c>
      <c r="G2" s="516">
        <v>52.3</v>
      </c>
      <c r="H2" s="516">
        <v>61.1</v>
      </c>
      <c r="I2" s="516">
        <v>56.3</v>
      </c>
      <c r="J2" s="516">
        <v>72.2</v>
      </c>
      <c r="K2" s="516">
        <v>78.599999999999994</v>
      </c>
      <c r="L2" s="516">
        <v>77.400000000000006</v>
      </c>
      <c r="M2" s="516">
        <v>72.2</v>
      </c>
      <c r="N2" s="516">
        <v>53.7</v>
      </c>
      <c r="O2" s="516">
        <v>58.7</v>
      </c>
      <c r="P2" s="516">
        <v>67.7</v>
      </c>
      <c r="Q2" s="516">
        <v>75.400000000000006</v>
      </c>
      <c r="R2" s="138">
        <v>787.5</v>
      </c>
    </row>
    <row r="3" spans="1:18" x14ac:dyDescent="0.2">
      <c r="A3" t="s">
        <v>257</v>
      </c>
      <c r="B3" s="460">
        <v>205</v>
      </c>
      <c r="C3" s="460" t="s">
        <v>258</v>
      </c>
      <c r="D3" s="460" t="s">
        <v>259</v>
      </c>
      <c r="E3" t="s">
        <v>256</v>
      </c>
      <c r="F3" s="516">
        <v>62.2</v>
      </c>
      <c r="G3" s="516">
        <v>56.6</v>
      </c>
      <c r="H3" s="516">
        <v>66.400000000000006</v>
      </c>
      <c r="I3" s="516">
        <v>63.2</v>
      </c>
      <c r="J3" s="516">
        <v>74.900000000000006</v>
      </c>
      <c r="K3" s="516">
        <v>82.2</v>
      </c>
      <c r="L3" s="516">
        <v>79.8</v>
      </c>
      <c r="M3" s="516">
        <v>75.8</v>
      </c>
      <c r="N3" s="516">
        <v>59.2</v>
      </c>
      <c r="O3" s="516">
        <v>63</v>
      </c>
      <c r="P3" s="516">
        <v>71.900000000000006</v>
      </c>
      <c r="Q3" s="516">
        <v>73.099999999999994</v>
      </c>
      <c r="R3" s="138">
        <v>828.3</v>
      </c>
    </row>
    <row r="4" spans="1:18" x14ac:dyDescent="0.2">
      <c r="A4" t="s">
        <v>260</v>
      </c>
      <c r="B4" s="460">
        <v>243</v>
      </c>
      <c r="C4" s="460" t="s">
        <v>261</v>
      </c>
      <c r="D4" s="460" t="s">
        <v>262</v>
      </c>
      <c r="E4" t="s">
        <v>256</v>
      </c>
      <c r="F4" s="516">
        <v>68.7</v>
      </c>
      <c r="G4" s="516">
        <v>63.9</v>
      </c>
      <c r="H4" s="516">
        <v>70.2</v>
      </c>
      <c r="I4" s="516">
        <v>67.7</v>
      </c>
      <c r="J4" s="516">
        <v>78.5</v>
      </c>
      <c r="K4" s="516">
        <v>91.7</v>
      </c>
      <c r="L4" s="516">
        <v>78.3</v>
      </c>
      <c r="M4" s="516">
        <v>74.400000000000006</v>
      </c>
      <c r="N4" s="516">
        <v>59.1</v>
      </c>
      <c r="O4" s="516">
        <v>61.3</v>
      </c>
      <c r="P4" s="516">
        <v>77.099999999999994</v>
      </c>
      <c r="Q4" s="516">
        <v>82</v>
      </c>
      <c r="R4" s="138">
        <v>872.8</v>
      </c>
    </row>
    <row r="5" spans="1:18" x14ac:dyDescent="0.2">
      <c r="A5" t="s">
        <v>263</v>
      </c>
      <c r="B5" s="460">
        <v>52</v>
      </c>
      <c r="C5" s="460" t="s">
        <v>264</v>
      </c>
      <c r="D5" s="460" t="s">
        <v>265</v>
      </c>
      <c r="E5" t="s">
        <v>256</v>
      </c>
      <c r="F5" s="516">
        <v>75.5</v>
      </c>
      <c r="G5" s="516">
        <v>52.2</v>
      </c>
      <c r="H5" s="516">
        <v>66.8</v>
      </c>
      <c r="I5" s="516">
        <v>56.3</v>
      </c>
      <c r="J5" s="516">
        <v>65.3</v>
      </c>
      <c r="K5" s="516">
        <v>75.5</v>
      </c>
      <c r="L5" s="516">
        <v>74.7</v>
      </c>
      <c r="M5" s="516">
        <v>72.900000000000006</v>
      </c>
      <c r="N5" s="516">
        <v>69.400000000000006</v>
      </c>
      <c r="O5" s="516">
        <v>60.3</v>
      </c>
      <c r="P5" s="516">
        <v>78.099999999999994</v>
      </c>
      <c r="Q5" s="516">
        <v>85.7</v>
      </c>
      <c r="R5" s="138">
        <v>832.8</v>
      </c>
    </row>
    <row r="6" spans="1:18" x14ac:dyDescent="0.2">
      <c r="A6" t="s">
        <v>266</v>
      </c>
      <c r="B6" s="460">
        <v>70</v>
      </c>
      <c r="C6" s="460" t="s">
        <v>267</v>
      </c>
      <c r="D6" s="460" t="s">
        <v>268</v>
      </c>
      <c r="E6" t="s">
        <v>256</v>
      </c>
      <c r="F6" s="516">
        <v>63</v>
      </c>
      <c r="G6" s="516">
        <v>48.5</v>
      </c>
      <c r="H6" s="516">
        <v>61.3</v>
      </c>
      <c r="I6" s="516">
        <v>52.9</v>
      </c>
      <c r="J6" s="516">
        <v>67.900000000000006</v>
      </c>
      <c r="K6" s="516">
        <v>73</v>
      </c>
      <c r="L6" s="516">
        <v>70.099999999999994</v>
      </c>
      <c r="M6" s="516">
        <v>67.7</v>
      </c>
      <c r="N6" s="516">
        <v>64.8</v>
      </c>
      <c r="O6" s="516">
        <v>50.1</v>
      </c>
      <c r="P6" s="516">
        <v>67</v>
      </c>
      <c r="Q6" s="516">
        <v>75.2</v>
      </c>
      <c r="R6" s="138">
        <v>761.4</v>
      </c>
    </row>
    <row r="7" spans="1:18" x14ac:dyDescent="0.2">
      <c r="A7" t="s">
        <v>269</v>
      </c>
      <c r="B7" s="460">
        <v>160</v>
      </c>
      <c r="C7" s="460" t="s">
        <v>270</v>
      </c>
      <c r="D7" s="460" t="s">
        <v>265</v>
      </c>
      <c r="E7" t="s">
        <v>256</v>
      </c>
      <c r="F7" s="516">
        <v>44.9</v>
      </c>
      <c r="G7" s="516">
        <v>37.799999999999997</v>
      </c>
      <c r="H7" s="516">
        <v>51.1</v>
      </c>
      <c r="I7" s="516">
        <v>50</v>
      </c>
      <c r="J7" s="516">
        <v>62.8</v>
      </c>
      <c r="K7" s="516">
        <v>69</v>
      </c>
      <c r="L7" s="516">
        <v>68.099999999999994</v>
      </c>
      <c r="M7" s="516">
        <v>66.599999999999994</v>
      </c>
      <c r="N7" s="516">
        <v>56.3</v>
      </c>
      <c r="O7" s="516">
        <v>45</v>
      </c>
      <c r="P7" s="516">
        <v>54.2</v>
      </c>
      <c r="Q7" s="516">
        <v>52.3</v>
      </c>
      <c r="R7" s="138">
        <v>657.9</v>
      </c>
    </row>
    <row r="8" spans="1:18" x14ac:dyDescent="0.2">
      <c r="A8" t="s">
        <v>271</v>
      </c>
      <c r="B8" s="460">
        <v>196</v>
      </c>
      <c r="C8" s="460" t="s">
        <v>272</v>
      </c>
      <c r="D8" s="460" t="s">
        <v>273</v>
      </c>
      <c r="E8" t="s">
        <v>256</v>
      </c>
      <c r="F8" s="516">
        <v>114.8</v>
      </c>
      <c r="G8" s="516">
        <v>83.4</v>
      </c>
      <c r="H8" s="516">
        <v>101</v>
      </c>
      <c r="I8" s="516">
        <v>84.1</v>
      </c>
      <c r="J8" s="516">
        <v>87.6</v>
      </c>
      <c r="K8" s="516">
        <v>105.7</v>
      </c>
      <c r="L8" s="516">
        <v>110.2</v>
      </c>
      <c r="M8" s="516">
        <v>90</v>
      </c>
      <c r="N8" s="516">
        <v>88.7</v>
      </c>
      <c r="O8" s="516">
        <v>85.5</v>
      </c>
      <c r="P8" s="516">
        <v>109.5</v>
      </c>
      <c r="Q8" s="516">
        <v>125.9</v>
      </c>
      <c r="R8" s="138">
        <v>1186.3</v>
      </c>
    </row>
    <row r="9" spans="1:18" x14ac:dyDescent="0.2">
      <c r="A9" t="s">
        <v>274</v>
      </c>
      <c r="B9" s="460">
        <v>108</v>
      </c>
      <c r="C9" s="460" t="s">
        <v>275</v>
      </c>
      <c r="D9" s="460" t="s">
        <v>276</v>
      </c>
      <c r="E9" t="s">
        <v>256</v>
      </c>
      <c r="F9" s="516">
        <v>68.3</v>
      </c>
      <c r="G9" s="516">
        <v>49.2</v>
      </c>
      <c r="H9" s="516">
        <v>62.4</v>
      </c>
      <c r="I9" s="516">
        <v>52</v>
      </c>
      <c r="J9" s="516">
        <v>62.8</v>
      </c>
      <c r="K9" s="516">
        <v>78.400000000000006</v>
      </c>
      <c r="L9" s="516">
        <v>69.3</v>
      </c>
      <c r="M9" s="516">
        <v>64.099999999999994</v>
      </c>
      <c r="N9" s="516">
        <v>64.8</v>
      </c>
      <c r="O9" s="516">
        <v>55.5</v>
      </c>
      <c r="P9" s="516">
        <v>70.3</v>
      </c>
      <c r="Q9" s="516">
        <v>77.5</v>
      </c>
      <c r="R9" s="138">
        <v>774.7</v>
      </c>
    </row>
    <row r="10" spans="1:18" x14ac:dyDescent="0.2">
      <c r="A10" t="s">
        <v>277</v>
      </c>
      <c r="B10" s="460">
        <v>242</v>
      </c>
      <c r="C10" s="460" t="s">
        <v>278</v>
      </c>
      <c r="D10" s="460" t="s">
        <v>279</v>
      </c>
      <c r="E10" t="s">
        <v>256</v>
      </c>
      <c r="F10" s="516">
        <v>92.8</v>
      </c>
      <c r="G10" s="516">
        <v>70</v>
      </c>
      <c r="H10" s="516">
        <v>83.2</v>
      </c>
      <c r="I10" s="516">
        <v>78.5</v>
      </c>
      <c r="J10" s="516">
        <v>83.1</v>
      </c>
      <c r="K10" s="516">
        <v>103.4</v>
      </c>
      <c r="L10" s="516">
        <v>100.5</v>
      </c>
      <c r="M10" s="516">
        <v>82.5</v>
      </c>
      <c r="N10" s="516">
        <v>71.099999999999994</v>
      </c>
      <c r="O10" s="516">
        <v>68.5</v>
      </c>
      <c r="P10" s="516">
        <v>91.4</v>
      </c>
      <c r="Q10" s="516">
        <v>103.3</v>
      </c>
      <c r="R10" s="138">
        <v>1028.4000000000001</v>
      </c>
    </row>
    <row r="11" spans="1:18" x14ac:dyDescent="0.2">
      <c r="A11" t="s">
        <v>280</v>
      </c>
      <c r="B11" s="460">
        <v>265</v>
      </c>
      <c r="C11" s="460" t="s">
        <v>281</v>
      </c>
      <c r="D11" s="460" t="s">
        <v>282</v>
      </c>
      <c r="E11" t="s">
        <v>256</v>
      </c>
      <c r="F11" s="516">
        <v>79.5</v>
      </c>
      <c r="G11" s="516">
        <v>57.6</v>
      </c>
      <c r="H11" s="516">
        <v>74.8</v>
      </c>
      <c r="I11" s="516">
        <v>72.8</v>
      </c>
      <c r="J11" s="516">
        <v>79.599999999999994</v>
      </c>
      <c r="K11" s="516">
        <v>94.7</v>
      </c>
      <c r="L11" s="516">
        <v>97.3</v>
      </c>
      <c r="M11" s="516">
        <v>73.3</v>
      </c>
      <c r="N11" s="516">
        <v>69.2</v>
      </c>
      <c r="O11" s="516">
        <v>64.900000000000006</v>
      </c>
      <c r="P11" s="516">
        <v>79.099999999999994</v>
      </c>
      <c r="Q11" s="516">
        <v>89.4</v>
      </c>
      <c r="R11" s="138">
        <v>932.1</v>
      </c>
    </row>
    <row r="12" spans="1:18" x14ac:dyDescent="0.2">
      <c r="A12" t="s">
        <v>283</v>
      </c>
      <c r="B12" s="460">
        <v>307</v>
      </c>
      <c r="C12" s="460" t="s">
        <v>284</v>
      </c>
      <c r="D12" s="460" t="s">
        <v>282</v>
      </c>
      <c r="E12" t="s">
        <v>256</v>
      </c>
      <c r="F12" s="516">
        <v>111.3</v>
      </c>
      <c r="G12" s="516">
        <v>78.900000000000006</v>
      </c>
      <c r="H12" s="516">
        <v>95.5</v>
      </c>
      <c r="I12" s="516">
        <v>72.099999999999994</v>
      </c>
      <c r="J12" s="516">
        <v>74</v>
      </c>
      <c r="K12" s="516">
        <v>89.9</v>
      </c>
      <c r="L12" s="516">
        <v>91.7</v>
      </c>
      <c r="M12" s="516">
        <v>77.2</v>
      </c>
      <c r="N12" s="516">
        <v>83.1</v>
      </c>
      <c r="O12" s="516">
        <v>79.099999999999994</v>
      </c>
      <c r="P12" s="516">
        <v>105.8</v>
      </c>
      <c r="Q12" s="516">
        <v>123.6</v>
      </c>
      <c r="R12" s="138">
        <v>1082.4000000000001</v>
      </c>
    </row>
    <row r="13" spans="1:18" x14ac:dyDescent="0.2">
      <c r="A13" t="s">
        <v>285</v>
      </c>
      <c r="B13" s="460">
        <v>340</v>
      </c>
      <c r="C13" s="460" t="s">
        <v>286</v>
      </c>
      <c r="D13" s="460" t="s">
        <v>287</v>
      </c>
      <c r="E13" t="s">
        <v>256</v>
      </c>
      <c r="F13" s="516">
        <v>128.4</v>
      </c>
      <c r="G13" s="516">
        <v>92.1</v>
      </c>
      <c r="H13" s="516">
        <v>113.4</v>
      </c>
      <c r="I13" s="516">
        <v>83.8</v>
      </c>
      <c r="J13" s="516">
        <v>80.099999999999994</v>
      </c>
      <c r="K13" s="516">
        <v>98.8</v>
      </c>
      <c r="L13" s="516">
        <v>107.2</v>
      </c>
      <c r="M13" s="516">
        <v>92.7</v>
      </c>
      <c r="N13" s="516">
        <v>93.6</v>
      </c>
      <c r="O13" s="516">
        <v>96</v>
      </c>
      <c r="P13" s="516">
        <v>123.6</v>
      </c>
      <c r="Q13" s="516">
        <v>148.5</v>
      </c>
      <c r="R13" s="138">
        <v>1258.3</v>
      </c>
    </row>
    <row r="14" spans="1:18" x14ac:dyDescent="0.2">
      <c r="A14" t="s">
        <v>288</v>
      </c>
      <c r="B14" s="460">
        <v>311</v>
      </c>
      <c r="C14" s="460" t="s">
        <v>286</v>
      </c>
      <c r="D14" s="460" t="s">
        <v>268</v>
      </c>
      <c r="E14" t="s">
        <v>256</v>
      </c>
      <c r="F14" s="516">
        <v>114.2</v>
      </c>
      <c r="G14" s="516">
        <v>81.2</v>
      </c>
      <c r="H14" s="516">
        <v>98.2</v>
      </c>
      <c r="I14" s="516">
        <v>71.599999999999994</v>
      </c>
      <c r="J14" s="516">
        <v>77</v>
      </c>
      <c r="K14" s="516">
        <v>93.8</v>
      </c>
      <c r="L14" s="516">
        <v>93</v>
      </c>
      <c r="M14" s="516">
        <v>76.2</v>
      </c>
      <c r="N14" s="516">
        <v>84.7</v>
      </c>
      <c r="O14" s="516">
        <v>81.599999999999994</v>
      </c>
      <c r="P14" s="516">
        <v>110.4</v>
      </c>
      <c r="Q14" s="516">
        <v>130</v>
      </c>
      <c r="R14" s="138">
        <v>1111.8</v>
      </c>
    </row>
    <row r="15" spans="1:18" x14ac:dyDescent="0.2">
      <c r="A15" t="s">
        <v>289</v>
      </c>
      <c r="B15" s="460">
        <v>163</v>
      </c>
      <c r="C15" s="460" t="s">
        <v>290</v>
      </c>
      <c r="D15" s="460" t="s">
        <v>291</v>
      </c>
      <c r="E15" t="s">
        <v>256</v>
      </c>
      <c r="F15" s="516">
        <v>82.2</v>
      </c>
      <c r="G15" s="516">
        <v>58.3</v>
      </c>
      <c r="H15" s="516">
        <v>72.2</v>
      </c>
      <c r="I15" s="516">
        <v>67.5</v>
      </c>
      <c r="J15" s="516">
        <v>77</v>
      </c>
      <c r="K15" s="516">
        <v>83.2</v>
      </c>
      <c r="L15" s="516">
        <v>87.7</v>
      </c>
      <c r="M15" s="516">
        <v>78.599999999999994</v>
      </c>
      <c r="N15" s="516">
        <v>71.400000000000006</v>
      </c>
      <c r="O15" s="516">
        <v>64</v>
      </c>
      <c r="P15" s="516">
        <v>82.9</v>
      </c>
      <c r="Q15" s="516">
        <v>94.5</v>
      </c>
      <c r="R15" s="138">
        <v>919.6</v>
      </c>
    </row>
    <row r="16" spans="1:18" x14ac:dyDescent="0.2">
      <c r="A16" t="s">
        <v>292</v>
      </c>
      <c r="B16" s="460">
        <v>105</v>
      </c>
      <c r="C16" s="460" t="s">
        <v>293</v>
      </c>
      <c r="D16" s="460" t="s">
        <v>294</v>
      </c>
      <c r="E16" t="s">
        <v>256</v>
      </c>
      <c r="F16" s="516">
        <v>66.099999999999994</v>
      </c>
      <c r="G16" s="516">
        <v>50.2</v>
      </c>
      <c r="H16" s="516">
        <v>64</v>
      </c>
      <c r="I16" s="516">
        <v>59.5</v>
      </c>
      <c r="J16" s="516">
        <v>70.400000000000006</v>
      </c>
      <c r="K16" s="516">
        <v>79.400000000000006</v>
      </c>
      <c r="L16" s="516">
        <v>79.3</v>
      </c>
      <c r="M16" s="516">
        <v>68.2</v>
      </c>
      <c r="N16" s="516">
        <v>64.2</v>
      </c>
      <c r="O16" s="516">
        <v>54.1</v>
      </c>
      <c r="P16" s="516">
        <v>70.8</v>
      </c>
      <c r="Q16" s="516">
        <v>78.900000000000006</v>
      </c>
      <c r="R16" s="138">
        <v>805.1</v>
      </c>
    </row>
    <row r="17" spans="1:18" x14ac:dyDescent="0.2">
      <c r="A17" t="s">
        <v>295</v>
      </c>
      <c r="B17" s="460">
        <v>120</v>
      </c>
      <c r="C17" s="460" t="s">
        <v>296</v>
      </c>
      <c r="D17" s="460" t="s">
        <v>297</v>
      </c>
      <c r="E17" t="s">
        <v>256</v>
      </c>
      <c r="F17" s="516">
        <v>61.6</v>
      </c>
      <c r="G17" s="516">
        <v>46.2</v>
      </c>
      <c r="H17" s="516">
        <v>60.4</v>
      </c>
      <c r="I17" s="516">
        <v>54.1</v>
      </c>
      <c r="J17" s="516">
        <v>66.7</v>
      </c>
      <c r="K17" s="516">
        <v>79.900000000000006</v>
      </c>
      <c r="L17" s="516">
        <v>78.8</v>
      </c>
      <c r="M17" s="516">
        <v>68.8</v>
      </c>
      <c r="N17" s="516">
        <v>63.2</v>
      </c>
      <c r="O17" s="516">
        <v>49.3</v>
      </c>
      <c r="P17" s="516">
        <v>65.599999999999994</v>
      </c>
      <c r="Q17" s="516">
        <v>73.400000000000006</v>
      </c>
      <c r="R17" s="138">
        <v>767.8</v>
      </c>
    </row>
    <row r="18" spans="1:18" x14ac:dyDescent="0.2">
      <c r="A18" t="s">
        <v>298</v>
      </c>
      <c r="B18" s="460">
        <v>67</v>
      </c>
      <c r="C18" s="460" t="s">
        <v>299</v>
      </c>
      <c r="D18" s="460" t="s">
        <v>300</v>
      </c>
      <c r="E18" t="s">
        <v>256</v>
      </c>
      <c r="F18" s="516">
        <v>73.8</v>
      </c>
      <c r="G18" s="516">
        <v>54.1</v>
      </c>
      <c r="H18" s="516">
        <v>71.900000000000006</v>
      </c>
      <c r="I18" s="516">
        <v>62.7</v>
      </c>
      <c r="J18" s="516">
        <v>77.400000000000006</v>
      </c>
      <c r="K18" s="516">
        <v>94.8</v>
      </c>
      <c r="L18" s="516">
        <v>92.6</v>
      </c>
      <c r="M18" s="516">
        <v>79.900000000000006</v>
      </c>
      <c r="N18" s="516">
        <v>70.7</v>
      </c>
      <c r="O18" s="516">
        <v>63.5</v>
      </c>
      <c r="P18" s="516">
        <v>75.099999999999994</v>
      </c>
      <c r="Q18" s="516">
        <v>81.5</v>
      </c>
      <c r="R18" s="138">
        <v>898</v>
      </c>
    </row>
    <row r="19" spans="1:18" x14ac:dyDescent="0.2">
      <c r="A19" t="s">
        <v>301</v>
      </c>
      <c r="B19" s="460">
        <v>375</v>
      </c>
      <c r="C19" s="460" t="s">
        <v>302</v>
      </c>
      <c r="D19" s="460" t="s">
        <v>303</v>
      </c>
      <c r="E19" t="s">
        <v>256</v>
      </c>
      <c r="F19" s="516">
        <v>121.1</v>
      </c>
      <c r="G19" s="516">
        <v>89</v>
      </c>
      <c r="H19" s="516">
        <v>108.5</v>
      </c>
      <c r="I19" s="516">
        <v>87.4</v>
      </c>
      <c r="J19" s="516">
        <v>88.6</v>
      </c>
      <c r="K19" s="516">
        <v>103.5</v>
      </c>
      <c r="L19" s="516">
        <v>111.9</v>
      </c>
      <c r="M19" s="516">
        <v>91.2</v>
      </c>
      <c r="N19" s="516">
        <v>91.4</v>
      </c>
      <c r="O19" s="516">
        <v>94</v>
      </c>
      <c r="P19" s="516">
        <v>120.5</v>
      </c>
      <c r="Q19" s="516">
        <v>140.69999999999999</v>
      </c>
      <c r="R19" s="138">
        <v>1247.9000000000001</v>
      </c>
    </row>
    <row r="20" spans="1:18" x14ac:dyDescent="0.2">
      <c r="A20" t="s">
        <v>304</v>
      </c>
      <c r="B20" s="460">
        <v>445</v>
      </c>
      <c r="C20" s="460" t="s">
        <v>305</v>
      </c>
      <c r="D20" s="460" t="s">
        <v>306</v>
      </c>
      <c r="E20" t="s">
        <v>256</v>
      </c>
      <c r="F20" s="516">
        <v>101.3</v>
      </c>
      <c r="G20" s="516">
        <v>74.7</v>
      </c>
      <c r="H20" s="516">
        <v>86.4</v>
      </c>
      <c r="I20" s="516">
        <v>68.7</v>
      </c>
      <c r="J20" s="516">
        <v>71.099999999999994</v>
      </c>
      <c r="K20" s="516">
        <v>83.5</v>
      </c>
      <c r="L20" s="516">
        <v>85</v>
      </c>
      <c r="M20" s="516">
        <v>75.7</v>
      </c>
      <c r="N20" s="516">
        <v>67.900000000000006</v>
      </c>
      <c r="O20" s="516">
        <v>74.2</v>
      </c>
      <c r="P20" s="516">
        <v>100.1</v>
      </c>
      <c r="Q20" s="516">
        <v>116</v>
      </c>
      <c r="R20" s="138">
        <v>1004.4</v>
      </c>
    </row>
    <row r="21" spans="1:18" x14ac:dyDescent="0.2">
      <c r="A21" t="s">
        <v>307</v>
      </c>
      <c r="B21" s="460">
        <v>470</v>
      </c>
      <c r="C21" s="460" t="s">
        <v>308</v>
      </c>
      <c r="D21" s="460" t="s">
        <v>306</v>
      </c>
      <c r="E21" t="s">
        <v>256</v>
      </c>
      <c r="F21" s="516">
        <v>121.1</v>
      </c>
      <c r="G21" s="516">
        <v>87.8</v>
      </c>
      <c r="H21" s="516">
        <v>97.6</v>
      </c>
      <c r="I21" s="516">
        <v>75.5</v>
      </c>
      <c r="J21" s="516">
        <v>79.2</v>
      </c>
      <c r="K21" s="516">
        <v>92.5</v>
      </c>
      <c r="L21" s="516">
        <v>91.7</v>
      </c>
      <c r="M21" s="516">
        <v>82.8</v>
      </c>
      <c r="N21" s="516">
        <v>75.2</v>
      </c>
      <c r="O21" s="516">
        <v>82.9</v>
      </c>
      <c r="P21" s="516">
        <v>114.3</v>
      </c>
      <c r="Q21" s="516">
        <v>132.6</v>
      </c>
      <c r="R21" s="138">
        <v>1133.0999999999999</v>
      </c>
    </row>
    <row r="22" spans="1:18" x14ac:dyDescent="0.2">
      <c r="A22" t="s">
        <v>309</v>
      </c>
      <c r="B22" s="460">
        <v>510</v>
      </c>
      <c r="C22" s="460" t="s">
        <v>284</v>
      </c>
      <c r="D22" s="460" t="s">
        <v>310</v>
      </c>
      <c r="E22" t="s">
        <v>256</v>
      </c>
      <c r="F22" s="516">
        <v>121.8</v>
      </c>
      <c r="G22" s="516">
        <v>85.5</v>
      </c>
      <c r="H22" s="516">
        <v>99.6</v>
      </c>
      <c r="I22" s="516">
        <v>76.5</v>
      </c>
      <c r="J22" s="516">
        <v>85.7</v>
      </c>
      <c r="K22" s="516">
        <v>91.2</v>
      </c>
      <c r="L22" s="516">
        <v>93.1</v>
      </c>
      <c r="M22" s="516">
        <v>89.4</v>
      </c>
      <c r="N22" s="516">
        <v>82.8</v>
      </c>
      <c r="O22" s="516">
        <v>87.7</v>
      </c>
      <c r="P22" s="516">
        <v>116.9</v>
      </c>
      <c r="Q22" s="516">
        <v>122.6</v>
      </c>
      <c r="R22" s="138">
        <v>1152.7</v>
      </c>
    </row>
    <row r="23" spans="1:18" x14ac:dyDescent="0.2">
      <c r="A23" t="s">
        <v>311</v>
      </c>
      <c r="B23" s="460">
        <v>427</v>
      </c>
      <c r="C23" s="460" t="s">
        <v>312</v>
      </c>
      <c r="D23" s="460" t="s">
        <v>313</v>
      </c>
      <c r="E23" t="s">
        <v>256</v>
      </c>
      <c r="F23" s="516">
        <v>95</v>
      </c>
      <c r="G23" s="516">
        <v>68.7</v>
      </c>
      <c r="H23" s="516">
        <v>74.599999999999994</v>
      </c>
      <c r="I23" s="516">
        <v>60.9</v>
      </c>
      <c r="J23" s="516">
        <v>67.2</v>
      </c>
      <c r="K23" s="516">
        <v>79.400000000000006</v>
      </c>
      <c r="L23" s="516">
        <v>77.2</v>
      </c>
      <c r="M23" s="516">
        <v>73.400000000000006</v>
      </c>
      <c r="N23" s="516">
        <v>64.2</v>
      </c>
      <c r="O23" s="516">
        <v>69.400000000000006</v>
      </c>
      <c r="P23" s="516">
        <v>90.6</v>
      </c>
      <c r="Q23" s="516">
        <v>102.8</v>
      </c>
      <c r="R23" s="138">
        <v>923.4</v>
      </c>
    </row>
    <row r="24" spans="1:18" x14ac:dyDescent="0.2">
      <c r="A24" t="s">
        <v>314</v>
      </c>
      <c r="B24" s="460">
        <v>450</v>
      </c>
      <c r="C24" s="460" t="s">
        <v>308</v>
      </c>
      <c r="D24" s="460" t="s">
        <v>315</v>
      </c>
      <c r="E24" t="s">
        <v>256</v>
      </c>
      <c r="F24" s="516">
        <v>122.3</v>
      </c>
      <c r="G24" s="516">
        <v>87.4</v>
      </c>
      <c r="H24" s="516">
        <v>103.3</v>
      </c>
      <c r="I24" s="516">
        <v>79.900000000000006</v>
      </c>
      <c r="J24" s="516">
        <v>84.8</v>
      </c>
      <c r="K24" s="516">
        <v>98.2</v>
      </c>
      <c r="L24" s="516">
        <v>99.5</v>
      </c>
      <c r="M24" s="516">
        <v>84.7</v>
      </c>
      <c r="N24" s="516">
        <v>79.599999999999994</v>
      </c>
      <c r="O24" s="516">
        <v>88.3</v>
      </c>
      <c r="P24" s="516">
        <v>113.7</v>
      </c>
      <c r="Q24" s="516">
        <v>136.69999999999999</v>
      </c>
      <c r="R24" s="138">
        <v>1178.5</v>
      </c>
    </row>
    <row r="25" spans="1:18" x14ac:dyDescent="0.2">
      <c r="A25" t="s">
        <v>316</v>
      </c>
      <c r="B25" s="460">
        <v>543</v>
      </c>
      <c r="C25" s="460" t="s">
        <v>317</v>
      </c>
      <c r="D25" s="460" t="s">
        <v>318</v>
      </c>
      <c r="E25" t="s">
        <v>256</v>
      </c>
      <c r="F25" s="516">
        <v>126.1</v>
      </c>
      <c r="G25" s="516">
        <v>90.1</v>
      </c>
      <c r="H25" s="516">
        <v>102.6</v>
      </c>
      <c r="I25" s="516">
        <v>80.3</v>
      </c>
      <c r="J25" s="516">
        <v>78.7</v>
      </c>
      <c r="K25" s="516">
        <v>96.6</v>
      </c>
      <c r="L25" s="516">
        <v>90.7</v>
      </c>
      <c r="M25" s="516">
        <v>78.099999999999994</v>
      </c>
      <c r="N25" s="516">
        <v>75.900000000000006</v>
      </c>
      <c r="O25" s="516">
        <v>82.6</v>
      </c>
      <c r="P25" s="516">
        <v>114.4</v>
      </c>
      <c r="Q25" s="516">
        <v>137.9</v>
      </c>
      <c r="R25" s="138">
        <v>1154.0999999999999</v>
      </c>
    </row>
    <row r="26" spans="1:18" x14ac:dyDescent="0.2">
      <c r="A26" t="s">
        <v>319</v>
      </c>
      <c r="B26" s="460">
        <v>330</v>
      </c>
      <c r="C26" s="460" t="s">
        <v>278</v>
      </c>
      <c r="D26" s="460" t="s">
        <v>320</v>
      </c>
      <c r="E26" t="s">
        <v>256</v>
      </c>
      <c r="F26" s="516">
        <v>99</v>
      </c>
      <c r="G26" s="516">
        <v>71.7</v>
      </c>
      <c r="H26" s="516">
        <v>85.4</v>
      </c>
      <c r="I26" s="516">
        <v>76.5</v>
      </c>
      <c r="J26" s="516">
        <v>85.7</v>
      </c>
      <c r="K26" s="516">
        <v>101.2</v>
      </c>
      <c r="L26" s="516">
        <v>102</v>
      </c>
      <c r="M26" s="516">
        <v>86</v>
      </c>
      <c r="N26" s="516">
        <v>79.400000000000006</v>
      </c>
      <c r="O26" s="516">
        <v>72.3</v>
      </c>
      <c r="P26" s="516">
        <v>94.3</v>
      </c>
      <c r="Q26" s="516">
        <v>112.4</v>
      </c>
      <c r="R26" s="138">
        <v>1065.9000000000001</v>
      </c>
    </row>
    <row r="27" spans="1:18" x14ac:dyDescent="0.2">
      <c r="A27" t="s">
        <v>321</v>
      </c>
      <c r="B27" s="460">
        <v>101</v>
      </c>
      <c r="C27" s="460" t="s">
        <v>322</v>
      </c>
      <c r="D27" s="460" t="s">
        <v>323</v>
      </c>
      <c r="E27" t="s">
        <v>256</v>
      </c>
      <c r="F27" s="516">
        <v>68.099999999999994</v>
      </c>
      <c r="G27" s="516">
        <v>51.9</v>
      </c>
      <c r="H27" s="516">
        <v>61.2</v>
      </c>
      <c r="I27" s="516">
        <v>58.6</v>
      </c>
      <c r="J27" s="516">
        <v>67.599999999999994</v>
      </c>
      <c r="K27" s="516">
        <v>78.2</v>
      </c>
      <c r="L27" s="516">
        <v>69.2</v>
      </c>
      <c r="M27" s="516">
        <v>68.099999999999994</v>
      </c>
      <c r="N27" s="516">
        <v>59.7</v>
      </c>
      <c r="O27" s="516">
        <v>49.6</v>
      </c>
      <c r="P27" s="516">
        <v>65.099999999999994</v>
      </c>
      <c r="Q27" s="516">
        <v>81.900000000000006</v>
      </c>
      <c r="R27" s="138">
        <v>779.1</v>
      </c>
    </row>
    <row r="28" spans="1:18" x14ac:dyDescent="0.2">
      <c r="A28" t="s">
        <v>324</v>
      </c>
      <c r="B28" s="460">
        <v>99</v>
      </c>
      <c r="C28" s="460" t="s">
        <v>325</v>
      </c>
      <c r="D28" s="460" t="s">
        <v>326</v>
      </c>
      <c r="E28" t="s">
        <v>256</v>
      </c>
      <c r="F28" s="516">
        <v>82.1</v>
      </c>
      <c r="G28" s="516">
        <v>58.6</v>
      </c>
      <c r="H28" s="516">
        <v>71.099999999999994</v>
      </c>
      <c r="I28" s="516">
        <v>64.8</v>
      </c>
      <c r="J28" s="516">
        <v>73.5</v>
      </c>
      <c r="K28" s="516">
        <v>79.7</v>
      </c>
      <c r="L28" s="516">
        <v>75.8</v>
      </c>
      <c r="M28" s="516">
        <v>73</v>
      </c>
      <c r="N28" s="516">
        <v>70.7</v>
      </c>
      <c r="O28" s="516">
        <v>61.8</v>
      </c>
      <c r="P28" s="516">
        <v>78.599999999999994</v>
      </c>
      <c r="Q28" s="516">
        <v>97.1</v>
      </c>
      <c r="R28" s="138">
        <v>886.7</v>
      </c>
    </row>
    <row r="29" spans="1:18" x14ac:dyDescent="0.2">
      <c r="A29" t="s">
        <v>327</v>
      </c>
      <c r="B29" s="460">
        <v>96</v>
      </c>
      <c r="C29" s="460" t="s">
        <v>325</v>
      </c>
      <c r="D29" s="460" t="s">
        <v>328</v>
      </c>
      <c r="E29" t="s">
        <v>256</v>
      </c>
      <c r="F29" s="516">
        <v>62.4</v>
      </c>
      <c r="G29" s="516">
        <v>46.3</v>
      </c>
      <c r="H29" s="516">
        <v>55.2</v>
      </c>
      <c r="I29" s="516">
        <v>51.5</v>
      </c>
      <c r="J29" s="516">
        <v>69</v>
      </c>
      <c r="K29" s="516">
        <v>71.400000000000006</v>
      </c>
      <c r="L29" s="516">
        <v>70.2</v>
      </c>
      <c r="M29" s="516">
        <v>61.8</v>
      </c>
      <c r="N29" s="516">
        <v>58.5</v>
      </c>
      <c r="O29" s="516">
        <v>50.5</v>
      </c>
      <c r="P29" s="516">
        <v>61.7</v>
      </c>
      <c r="Q29" s="516">
        <v>73.8</v>
      </c>
      <c r="R29" s="138">
        <v>732.2</v>
      </c>
    </row>
    <row r="30" spans="1:18" x14ac:dyDescent="0.2">
      <c r="A30" t="s">
        <v>329</v>
      </c>
      <c r="B30" s="460">
        <v>155</v>
      </c>
      <c r="C30" s="460" t="s">
        <v>330</v>
      </c>
      <c r="D30" s="460" t="s">
        <v>331</v>
      </c>
      <c r="E30" t="s">
        <v>256</v>
      </c>
      <c r="F30" s="516">
        <v>80.599999999999994</v>
      </c>
      <c r="G30" s="516">
        <v>56.5</v>
      </c>
      <c r="H30" s="516">
        <v>70.599999999999994</v>
      </c>
      <c r="I30" s="516">
        <v>65.099999999999994</v>
      </c>
      <c r="J30" s="516">
        <v>76.3</v>
      </c>
      <c r="K30" s="516">
        <v>84.9</v>
      </c>
      <c r="L30" s="516">
        <v>80.3</v>
      </c>
      <c r="M30" s="516">
        <v>73.3</v>
      </c>
      <c r="N30" s="516">
        <v>69.400000000000006</v>
      </c>
      <c r="O30" s="516">
        <v>61.2</v>
      </c>
      <c r="P30" s="516">
        <v>79</v>
      </c>
      <c r="Q30" s="516">
        <v>92.8</v>
      </c>
      <c r="R30" s="138">
        <v>890</v>
      </c>
    </row>
    <row r="31" spans="1:18" x14ac:dyDescent="0.2">
      <c r="A31" t="s">
        <v>332</v>
      </c>
      <c r="B31" s="460">
        <v>250</v>
      </c>
      <c r="C31" s="460" t="s">
        <v>330</v>
      </c>
      <c r="D31" s="460" t="s">
        <v>326</v>
      </c>
      <c r="E31" t="s">
        <v>256</v>
      </c>
      <c r="F31" s="516">
        <v>87.9</v>
      </c>
      <c r="G31" s="516">
        <v>63.4</v>
      </c>
      <c r="H31" s="516">
        <v>76.400000000000006</v>
      </c>
      <c r="I31" s="516">
        <v>68.5</v>
      </c>
      <c r="J31" s="516">
        <v>83.9</v>
      </c>
      <c r="K31" s="516">
        <v>90.4</v>
      </c>
      <c r="L31" s="516">
        <v>90.4</v>
      </c>
      <c r="M31" s="516">
        <v>75.900000000000006</v>
      </c>
      <c r="N31" s="516">
        <v>76</v>
      </c>
      <c r="O31" s="516">
        <v>67.599999999999994</v>
      </c>
      <c r="P31" s="516">
        <v>89.6</v>
      </c>
      <c r="Q31" s="516">
        <v>107.6</v>
      </c>
      <c r="R31" s="138">
        <v>977.6</v>
      </c>
    </row>
    <row r="32" spans="1:18" x14ac:dyDescent="0.2">
      <c r="A32" t="s">
        <v>333</v>
      </c>
      <c r="B32" s="460">
        <v>127</v>
      </c>
      <c r="C32" s="460" t="s">
        <v>334</v>
      </c>
      <c r="D32" s="460" t="s">
        <v>335</v>
      </c>
      <c r="E32" t="s">
        <v>256</v>
      </c>
      <c r="F32" s="516">
        <v>83.2</v>
      </c>
      <c r="G32" s="516">
        <v>58.1</v>
      </c>
      <c r="H32" s="516">
        <v>72.8</v>
      </c>
      <c r="I32" s="516">
        <v>65.8</v>
      </c>
      <c r="J32" s="516">
        <v>76</v>
      </c>
      <c r="K32" s="516">
        <v>87.4</v>
      </c>
      <c r="L32" s="516">
        <v>79.900000000000006</v>
      </c>
      <c r="M32" s="516">
        <v>72.7</v>
      </c>
      <c r="N32" s="516">
        <v>68.3</v>
      </c>
      <c r="O32" s="516">
        <v>61.9</v>
      </c>
      <c r="P32" s="516">
        <v>81</v>
      </c>
      <c r="Q32" s="516">
        <v>93.8</v>
      </c>
      <c r="R32" s="138">
        <v>900.9</v>
      </c>
    </row>
    <row r="33" spans="1:18" x14ac:dyDescent="0.2">
      <c r="A33" t="s">
        <v>336</v>
      </c>
      <c r="B33" s="460">
        <v>111</v>
      </c>
      <c r="C33" s="460" t="s">
        <v>330</v>
      </c>
      <c r="D33" s="460" t="s">
        <v>337</v>
      </c>
      <c r="E33" t="s">
        <v>256</v>
      </c>
      <c r="F33" s="516">
        <v>73.7</v>
      </c>
      <c r="G33" s="516">
        <v>52.7</v>
      </c>
      <c r="H33" s="516">
        <v>68.400000000000006</v>
      </c>
      <c r="I33" s="516">
        <v>60.7</v>
      </c>
      <c r="J33" s="516">
        <v>69.599999999999994</v>
      </c>
      <c r="K33" s="516">
        <v>73.5</v>
      </c>
      <c r="L33" s="516">
        <v>76.2</v>
      </c>
      <c r="M33" s="516">
        <v>70.5</v>
      </c>
      <c r="N33" s="516">
        <v>69.3</v>
      </c>
      <c r="O33" s="516">
        <v>61.6</v>
      </c>
      <c r="P33" s="516">
        <v>71.7</v>
      </c>
      <c r="Q33" s="516">
        <v>91</v>
      </c>
      <c r="R33" s="138">
        <v>838.9</v>
      </c>
    </row>
    <row r="34" spans="1:18" x14ac:dyDescent="0.2">
      <c r="A34" t="s">
        <v>338</v>
      </c>
      <c r="B34" s="460">
        <v>400</v>
      </c>
      <c r="C34" s="460" t="s">
        <v>339</v>
      </c>
      <c r="D34" s="460" t="s">
        <v>340</v>
      </c>
      <c r="E34" t="s">
        <v>256</v>
      </c>
      <c r="F34" s="516">
        <v>53.5</v>
      </c>
      <c r="G34" s="516">
        <v>48.3</v>
      </c>
      <c r="H34" s="516">
        <v>54.9</v>
      </c>
      <c r="I34" s="516">
        <v>47.3</v>
      </c>
      <c r="J34" s="516">
        <v>58.6</v>
      </c>
      <c r="K34" s="516">
        <v>62.1</v>
      </c>
      <c r="L34" s="516">
        <v>65.8</v>
      </c>
      <c r="M34" s="516">
        <v>60.5</v>
      </c>
      <c r="N34" s="516">
        <v>52.6</v>
      </c>
      <c r="O34" s="516">
        <v>50.3</v>
      </c>
      <c r="P34" s="516">
        <v>63.4</v>
      </c>
      <c r="Q34" s="516">
        <v>62.3</v>
      </c>
      <c r="R34" s="138">
        <v>679.6</v>
      </c>
    </row>
    <row r="35" spans="1:18" x14ac:dyDescent="0.2">
      <c r="A35" t="s">
        <v>341</v>
      </c>
      <c r="B35" s="460">
        <v>21</v>
      </c>
      <c r="C35" s="460" t="s">
        <v>342</v>
      </c>
      <c r="D35" s="460" t="s">
        <v>343</v>
      </c>
      <c r="E35" t="s">
        <v>256</v>
      </c>
      <c r="F35" s="516">
        <v>61.3</v>
      </c>
      <c r="G35" s="516">
        <v>44.9</v>
      </c>
      <c r="H35" s="516">
        <v>60.8</v>
      </c>
      <c r="I35" s="516">
        <v>48.3</v>
      </c>
      <c r="J35" s="516">
        <v>62.5</v>
      </c>
      <c r="K35" s="516">
        <v>75.400000000000006</v>
      </c>
      <c r="L35" s="516">
        <v>75</v>
      </c>
      <c r="M35" s="516">
        <v>66.099999999999994</v>
      </c>
      <c r="N35" s="516">
        <v>60.7</v>
      </c>
      <c r="O35" s="516">
        <v>56.5</v>
      </c>
      <c r="P35" s="516">
        <v>66.900000000000006</v>
      </c>
      <c r="Q35" s="516">
        <v>74.099999999999994</v>
      </c>
      <c r="R35" s="138">
        <v>752.5</v>
      </c>
    </row>
    <row r="36" spans="1:18" x14ac:dyDescent="0.2">
      <c r="A36" t="s">
        <v>344</v>
      </c>
      <c r="B36" s="460">
        <v>99</v>
      </c>
      <c r="C36" s="460" t="s">
        <v>345</v>
      </c>
      <c r="D36" s="460" t="s">
        <v>346</v>
      </c>
      <c r="E36" t="s">
        <v>256</v>
      </c>
      <c r="F36" s="516">
        <v>59.5</v>
      </c>
      <c r="G36" s="516">
        <v>46.9</v>
      </c>
      <c r="H36" s="516">
        <v>60.9</v>
      </c>
      <c r="I36" s="516">
        <v>53.8</v>
      </c>
      <c r="J36" s="516">
        <v>62.7</v>
      </c>
      <c r="K36" s="516">
        <v>82.8</v>
      </c>
      <c r="L36" s="516">
        <v>84.4</v>
      </c>
      <c r="M36" s="516">
        <v>70.400000000000006</v>
      </c>
      <c r="N36" s="516">
        <v>65.3</v>
      </c>
      <c r="O36" s="516">
        <v>56</v>
      </c>
      <c r="P36" s="516">
        <v>67.2</v>
      </c>
      <c r="Q36" s="516">
        <v>73</v>
      </c>
      <c r="R36" s="138">
        <v>782.9</v>
      </c>
    </row>
    <row r="37" spans="1:18" x14ac:dyDescent="0.2">
      <c r="A37" t="s">
        <v>347</v>
      </c>
      <c r="B37" s="460">
        <v>128</v>
      </c>
      <c r="C37" s="460" t="s">
        <v>348</v>
      </c>
      <c r="D37" s="460" t="s">
        <v>349</v>
      </c>
      <c r="E37" t="s">
        <v>256</v>
      </c>
      <c r="F37" s="516">
        <v>73.5</v>
      </c>
      <c r="G37" s="516">
        <v>50.6</v>
      </c>
      <c r="H37" s="516">
        <v>66.3</v>
      </c>
      <c r="I37" s="516">
        <v>60.4</v>
      </c>
      <c r="J37" s="516">
        <v>65.7</v>
      </c>
      <c r="K37" s="516">
        <v>78.099999999999994</v>
      </c>
      <c r="L37" s="516">
        <v>80.099999999999994</v>
      </c>
      <c r="M37" s="516">
        <v>68.900000000000006</v>
      </c>
      <c r="N37" s="516">
        <v>73.599999999999994</v>
      </c>
      <c r="O37" s="516">
        <v>65.7</v>
      </c>
      <c r="P37" s="516">
        <v>74.2</v>
      </c>
      <c r="Q37" s="516">
        <v>79</v>
      </c>
      <c r="R37" s="138">
        <v>836.3</v>
      </c>
    </row>
    <row r="38" spans="1:18" x14ac:dyDescent="0.2">
      <c r="A38" t="s">
        <v>350</v>
      </c>
      <c r="B38" s="460">
        <v>62</v>
      </c>
      <c r="C38" s="460" t="s">
        <v>351</v>
      </c>
      <c r="D38" s="460" t="s">
        <v>352</v>
      </c>
      <c r="E38" t="s">
        <v>256</v>
      </c>
      <c r="F38" s="516">
        <v>45.5</v>
      </c>
      <c r="G38" s="516">
        <v>36</v>
      </c>
      <c r="H38" s="516">
        <v>49.4</v>
      </c>
      <c r="I38" s="516">
        <v>46.4</v>
      </c>
      <c r="J38" s="516">
        <v>61.8</v>
      </c>
      <c r="K38" s="516">
        <v>69.900000000000006</v>
      </c>
      <c r="L38" s="516">
        <v>67.900000000000006</v>
      </c>
      <c r="M38" s="516">
        <v>63.1</v>
      </c>
      <c r="N38" s="516">
        <v>54.9</v>
      </c>
      <c r="O38" s="516">
        <v>45.2</v>
      </c>
      <c r="P38" s="516">
        <v>50.9</v>
      </c>
      <c r="Q38" s="516">
        <v>51.7</v>
      </c>
      <c r="R38" s="138">
        <v>642.70000000000005</v>
      </c>
    </row>
    <row r="39" spans="1:18" x14ac:dyDescent="0.2">
      <c r="A39" t="s">
        <v>353</v>
      </c>
      <c r="B39" s="460">
        <v>62</v>
      </c>
      <c r="C39" s="460" t="s">
        <v>354</v>
      </c>
      <c r="D39" s="460" t="s">
        <v>355</v>
      </c>
      <c r="E39" t="s">
        <v>256</v>
      </c>
      <c r="F39" s="516">
        <v>47.7</v>
      </c>
      <c r="G39" s="516">
        <v>39.1</v>
      </c>
      <c r="H39" s="516">
        <v>50.8</v>
      </c>
      <c r="I39" s="516">
        <v>50.1</v>
      </c>
      <c r="J39" s="516">
        <v>61.9</v>
      </c>
      <c r="K39" s="516">
        <v>73.2</v>
      </c>
      <c r="L39" s="516">
        <v>73.8</v>
      </c>
      <c r="M39" s="516">
        <v>68.5</v>
      </c>
      <c r="N39" s="516">
        <v>58.7</v>
      </c>
      <c r="O39" s="516">
        <v>46.8</v>
      </c>
      <c r="P39" s="516">
        <v>56.1</v>
      </c>
      <c r="Q39" s="516">
        <v>53.9</v>
      </c>
      <c r="R39" s="138">
        <v>680.6</v>
      </c>
    </row>
    <row r="40" spans="1:18" x14ac:dyDescent="0.2">
      <c r="A40" t="s">
        <v>356</v>
      </c>
      <c r="B40" s="460">
        <v>206</v>
      </c>
      <c r="C40" s="460" t="s">
        <v>357</v>
      </c>
      <c r="D40" s="460" t="s">
        <v>358</v>
      </c>
      <c r="E40" t="s">
        <v>256</v>
      </c>
      <c r="F40" s="516">
        <v>53.8</v>
      </c>
      <c r="G40" s="516">
        <v>43</v>
      </c>
      <c r="H40" s="516">
        <v>51.5</v>
      </c>
      <c r="I40" s="516">
        <v>49.2</v>
      </c>
      <c r="J40" s="516">
        <v>59.8</v>
      </c>
      <c r="K40" s="516">
        <v>75.2</v>
      </c>
      <c r="L40" s="516">
        <v>62.6</v>
      </c>
      <c r="M40" s="516">
        <v>60.9</v>
      </c>
      <c r="N40" s="516">
        <v>56.2</v>
      </c>
      <c r="O40" s="516">
        <v>42.9</v>
      </c>
      <c r="P40" s="516">
        <v>56.5</v>
      </c>
      <c r="Q40" s="516">
        <v>66</v>
      </c>
      <c r="R40" s="138">
        <v>677.8</v>
      </c>
    </row>
    <row r="41" spans="1:18" x14ac:dyDescent="0.2">
      <c r="A41" t="s">
        <v>359</v>
      </c>
      <c r="B41" s="460">
        <v>240</v>
      </c>
      <c r="C41" s="460" t="s">
        <v>357</v>
      </c>
      <c r="D41" s="460" t="s">
        <v>360</v>
      </c>
      <c r="E41" t="s">
        <v>256</v>
      </c>
      <c r="F41" s="516">
        <v>54.4</v>
      </c>
      <c r="G41" s="516">
        <v>43.8</v>
      </c>
      <c r="H41" s="516">
        <v>53.2</v>
      </c>
      <c r="I41" s="516">
        <v>50.3</v>
      </c>
      <c r="J41" s="516">
        <v>61.6</v>
      </c>
      <c r="K41" s="516">
        <v>73.7</v>
      </c>
      <c r="L41" s="516">
        <v>72.2</v>
      </c>
      <c r="M41" s="516">
        <v>62.5</v>
      </c>
      <c r="N41" s="516">
        <v>52.8</v>
      </c>
      <c r="O41" s="516">
        <v>42.8</v>
      </c>
      <c r="P41" s="516">
        <v>55.1</v>
      </c>
      <c r="Q41" s="516">
        <v>65.5</v>
      </c>
      <c r="R41" s="138">
        <v>687.9</v>
      </c>
    </row>
    <row r="42" spans="1:18" x14ac:dyDescent="0.2">
      <c r="A42" t="s">
        <v>361</v>
      </c>
      <c r="B42" s="460">
        <v>48</v>
      </c>
      <c r="C42" s="460" t="s">
        <v>362</v>
      </c>
      <c r="D42" s="460" t="s">
        <v>363</v>
      </c>
      <c r="E42" t="s">
        <v>256</v>
      </c>
      <c r="F42" s="516">
        <v>73.900000000000006</v>
      </c>
      <c r="G42" s="516">
        <v>52.5</v>
      </c>
      <c r="H42" s="516">
        <v>69.8</v>
      </c>
      <c r="I42" s="516">
        <v>57.1</v>
      </c>
      <c r="J42" s="516">
        <v>72.099999999999994</v>
      </c>
      <c r="K42" s="516">
        <v>81</v>
      </c>
      <c r="L42" s="516">
        <v>77.099999999999994</v>
      </c>
      <c r="M42" s="516">
        <v>73.5</v>
      </c>
      <c r="N42" s="516">
        <v>67.599999999999994</v>
      </c>
      <c r="O42" s="516">
        <v>62.5</v>
      </c>
      <c r="P42" s="516">
        <v>79.5</v>
      </c>
      <c r="Q42" s="516">
        <v>85.8</v>
      </c>
      <c r="R42" s="138">
        <v>852.3</v>
      </c>
    </row>
    <row r="43" spans="1:18" x14ac:dyDescent="0.2">
      <c r="A43" t="s">
        <v>364</v>
      </c>
      <c r="B43" s="460">
        <v>51</v>
      </c>
      <c r="C43" s="460" t="s">
        <v>272</v>
      </c>
      <c r="D43" s="460" t="s">
        <v>365</v>
      </c>
      <c r="E43" t="s">
        <v>256</v>
      </c>
      <c r="F43" s="516">
        <v>65.5</v>
      </c>
      <c r="G43" s="516">
        <v>53.3</v>
      </c>
      <c r="H43" s="516">
        <v>63.5</v>
      </c>
      <c r="I43" s="516">
        <v>50.5</v>
      </c>
      <c r="J43" s="516">
        <v>72.900000000000006</v>
      </c>
      <c r="K43" s="516">
        <v>80</v>
      </c>
      <c r="L43" s="516">
        <v>71.400000000000006</v>
      </c>
      <c r="M43" s="516">
        <v>64.099999999999994</v>
      </c>
      <c r="N43" s="516">
        <v>59.1</v>
      </c>
      <c r="O43" s="516">
        <v>55.9</v>
      </c>
      <c r="P43" s="516">
        <v>69.400000000000006</v>
      </c>
      <c r="Q43" s="516">
        <v>77.099999999999994</v>
      </c>
      <c r="R43" s="138">
        <v>782.7</v>
      </c>
    </row>
    <row r="44" spans="1:18" x14ac:dyDescent="0.2">
      <c r="A44" t="s">
        <v>366</v>
      </c>
      <c r="B44" s="460">
        <v>145</v>
      </c>
      <c r="C44" s="460" t="s">
        <v>367</v>
      </c>
      <c r="D44" s="460" t="s">
        <v>368</v>
      </c>
      <c r="E44" t="s">
        <v>256</v>
      </c>
      <c r="F44" s="516">
        <v>78</v>
      </c>
      <c r="G44" s="516">
        <v>55.2</v>
      </c>
      <c r="H44" s="516">
        <v>66</v>
      </c>
      <c r="I44" s="516">
        <v>59</v>
      </c>
      <c r="J44" s="516">
        <v>64.599999999999994</v>
      </c>
      <c r="K44" s="516">
        <v>72.3</v>
      </c>
      <c r="L44" s="516">
        <v>69</v>
      </c>
      <c r="M44" s="516">
        <v>72.7</v>
      </c>
      <c r="N44" s="516">
        <v>61.6</v>
      </c>
      <c r="O44" s="516">
        <v>53.6</v>
      </c>
      <c r="P44" s="516">
        <v>74.5</v>
      </c>
      <c r="Q44" s="516">
        <v>92.1</v>
      </c>
      <c r="R44" s="138">
        <v>818.6</v>
      </c>
    </row>
    <row r="45" spans="1:18" x14ac:dyDescent="0.2">
      <c r="A45" t="s">
        <v>369</v>
      </c>
      <c r="B45" s="460">
        <v>279</v>
      </c>
      <c r="C45" s="460" t="s">
        <v>370</v>
      </c>
      <c r="D45" s="460" t="s">
        <v>371</v>
      </c>
      <c r="E45" t="s">
        <v>256</v>
      </c>
      <c r="F45" s="516">
        <v>122.3</v>
      </c>
      <c r="G45" s="516">
        <v>89.4</v>
      </c>
      <c r="H45" s="516">
        <v>106.2</v>
      </c>
      <c r="I45" s="516">
        <v>87.2</v>
      </c>
      <c r="J45" s="516">
        <v>85.9</v>
      </c>
      <c r="K45" s="516">
        <v>108.7</v>
      </c>
      <c r="L45" s="516">
        <v>111.6</v>
      </c>
      <c r="M45" s="516">
        <v>89.4</v>
      </c>
      <c r="N45" s="516">
        <v>94.6</v>
      </c>
      <c r="O45" s="516">
        <v>95.2</v>
      </c>
      <c r="P45" s="516">
        <v>117.8</v>
      </c>
      <c r="Q45" s="516">
        <v>135.9</v>
      </c>
      <c r="R45" s="138">
        <v>1244.0999999999999</v>
      </c>
    </row>
    <row r="46" spans="1:18" x14ac:dyDescent="0.2">
      <c r="A46" t="s">
        <v>372</v>
      </c>
      <c r="B46" s="460">
        <v>410</v>
      </c>
      <c r="C46" s="460" t="s">
        <v>373</v>
      </c>
      <c r="D46" s="460" t="s">
        <v>374</v>
      </c>
      <c r="E46" t="s">
        <v>256</v>
      </c>
      <c r="F46" s="516">
        <v>105.3</v>
      </c>
      <c r="G46" s="516">
        <v>78</v>
      </c>
      <c r="H46" s="516">
        <v>95.8</v>
      </c>
      <c r="I46" s="516">
        <v>85</v>
      </c>
      <c r="J46" s="516">
        <v>85.5</v>
      </c>
      <c r="K46" s="516">
        <v>101.6</v>
      </c>
      <c r="L46" s="516">
        <v>105.7</v>
      </c>
      <c r="M46" s="516">
        <v>87.5</v>
      </c>
      <c r="N46" s="516">
        <v>87.5</v>
      </c>
      <c r="O46" s="516">
        <v>85.7</v>
      </c>
      <c r="P46" s="516">
        <v>106.2</v>
      </c>
      <c r="Q46" s="516">
        <v>118.6</v>
      </c>
      <c r="R46" s="138">
        <v>1142.3</v>
      </c>
    </row>
    <row r="47" spans="1:18" x14ac:dyDescent="0.2">
      <c r="A47" t="s">
        <v>375</v>
      </c>
      <c r="B47" s="460">
        <v>472</v>
      </c>
      <c r="C47" s="460" t="s">
        <v>376</v>
      </c>
      <c r="D47" s="460" t="s">
        <v>326</v>
      </c>
      <c r="E47" t="s">
        <v>256</v>
      </c>
      <c r="F47" s="516">
        <v>99.4</v>
      </c>
      <c r="G47" s="516">
        <v>76.900000000000006</v>
      </c>
      <c r="H47" s="516">
        <v>86.3</v>
      </c>
      <c r="I47" s="516">
        <v>80</v>
      </c>
      <c r="J47" s="516">
        <v>87.7</v>
      </c>
      <c r="K47" s="516">
        <v>101.4</v>
      </c>
      <c r="L47" s="516">
        <v>102.4</v>
      </c>
      <c r="M47" s="516">
        <v>86.8</v>
      </c>
      <c r="N47" s="516">
        <v>77.3</v>
      </c>
      <c r="O47" s="516">
        <v>76.5</v>
      </c>
      <c r="P47" s="516">
        <v>99.3</v>
      </c>
      <c r="Q47" s="516">
        <v>116</v>
      </c>
      <c r="R47" s="138">
        <v>1089.8</v>
      </c>
    </row>
    <row r="48" spans="1:18" x14ac:dyDescent="0.2">
      <c r="A48" t="s">
        <v>377</v>
      </c>
      <c r="B48" s="460">
        <v>435</v>
      </c>
      <c r="C48" s="460" t="s">
        <v>378</v>
      </c>
      <c r="D48" s="460" t="s">
        <v>379</v>
      </c>
      <c r="E48" t="s">
        <v>256</v>
      </c>
      <c r="F48" s="516">
        <v>105.2</v>
      </c>
      <c r="G48" s="516">
        <v>76.5</v>
      </c>
      <c r="H48" s="516">
        <v>90</v>
      </c>
      <c r="I48" s="516">
        <v>79.2</v>
      </c>
      <c r="J48" s="516">
        <v>84.4</v>
      </c>
      <c r="K48" s="516">
        <v>93.1</v>
      </c>
      <c r="L48" s="516">
        <v>91</v>
      </c>
      <c r="M48" s="516">
        <v>83.1</v>
      </c>
      <c r="N48" s="516">
        <v>73.5</v>
      </c>
      <c r="O48" s="516">
        <v>72.8</v>
      </c>
      <c r="P48" s="516">
        <v>98.1</v>
      </c>
      <c r="Q48" s="516">
        <v>113.9</v>
      </c>
      <c r="R48" s="138">
        <v>1060.9000000000001</v>
      </c>
    </row>
    <row r="49" spans="1:18" x14ac:dyDescent="0.2">
      <c r="A49" t="s">
        <v>380</v>
      </c>
      <c r="B49" s="460">
        <v>310</v>
      </c>
      <c r="C49" s="460" t="s">
        <v>348</v>
      </c>
      <c r="D49" s="460" t="s">
        <v>381</v>
      </c>
      <c r="E49" t="s">
        <v>256</v>
      </c>
      <c r="F49" s="516">
        <v>75.5</v>
      </c>
      <c r="G49" s="516">
        <v>59.4</v>
      </c>
      <c r="H49" s="516">
        <v>69.900000000000006</v>
      </c>
      <c r="I49" s="516">
        <v>66.7</v>
      </c>
      <c r="J49" s="516">
        <v>80</v>
      </c>
      <c r="K49" s="516">
        <v>88.1</v>
      </c>
      <c r="L49" s="516">
        <v>89.7</v>
      </c>
      <c r="M49" s="516">
        <v>77.8</v>
      </c>
      <c r="N49" s="516">
        <v>63.6</v>
      </c>
      <c r="O49" s="516">
        <v>58.2</v>
      </c>
      <c r="P49" s="516">
        <v>73.400000000000006</v>
      </c>
      <c r="Q49" s="516">
        <v>84.2</v>
      </c>
      <c r="R49" s="138">
        <v>886.4</v>
      </c>
    </row>
    <row r="50" spans="1:18" x14ac:dyDescent="0.2">
      <c r="A50" t="s">
        <v>382</v>
      </c>
      <c r="B50" s="460">
        <v>438</v>
      </c>
      <c r="C50" s="460" t="s">
        <v>281</v>
      </c>
      <c r="D50" s="460" t="s">
        <v>383</v>
      </c>
      <c r="E50" t="s">
        <v>256</v>
      </c>
      <c r="F50" s="516">
        <v>91.5</v>
      </c>
      <c r="G50" s="516">
        <v>69.099999999999994</v>
      </c>
      <c r="H50" s="516">
        <v>79.2</v>
      </c>
      <c r="I50" s="516">
        <v>76.400000000000006</v>
      </c>
      <c r="J50" s="516">
        <v>87.6</v>
      </c>
      <c r="K50" s="516">
        <v>93.7</v>
      </c>
      <c r="L50" s="516">
        <v>97.6</v>
      </c>
      <c r="M50" s="516">
        <v>86.4</v>
      </c>
      <c r="N50" s="516">
        <v>73</v>
      </c>
      <c r="O50" s="516">
        <v>70.099999999999994</v>
      </c>
      <c r="P50" s="516">
        <v>88.5</v>
      </c>
      <c r="Q50" s="516">
        <v>105</v>
      </c>
      <c r="R50" s="138">
        <v>1017.9</v>
      </c>
    </row>
    <row r="51" spans="1:18" x14ac:dyDescent="0.2">
      <c r="A51" t="s">
        <v>384</v>
      </c>
      <c r="B51" s="460">
        <v>40</v>
      </c>
      <c r="C51" s="460" t="s">
        <v>370</v>
      </c>
      <c r="D51" s="460" t="s">
        <v>385</v>
      </c>
      <c r="E51" t="s">
        <v>256</v>
      </c>
      <c r="F51" s="516">
        <v>66.7</v>
      </c>
      <c r="G51" s="516">
        <v>49.7</v>
      </c>
      <c r="H51" s="516">
        <v>67.5</v>
      </c>
      <c r="I51" s="516">
        <v>52.3</v>
      </c>
      <c r="J51" s="516">
        <v>74</v>
      </c>
      <c r="K51" s="516">
        <v>83.5</v>
      </c>
      <c r="L51" s="516">
        <v>74.8</v>
      </c>
      <c r="M51" s="516">
        <v>62.3</v>
      </c>
      <c r="N51" s="516">
        <v>53.3</v>
      </c>
      <c r="O51" s="516">
        <v>54.4</v>
      </c>
      <c r="P51" s="516">
        <v>66.900000000000006</v>
      </c>
      <c r="Q51" s="516">
        <v>68.8</v>
      </c>
      <c r="R51" s="138">
        <v>774.2</v>
      </c>
    </row>
    <row r="52" spans="1:18" x14ac:dyDescent="0.2">
      <c r="A52" t="s">
        <v>386</v>
      </c>
      <c r="B52" s="460">
        <v>61</v>
      </c>
      <c r="C52" s="460" t="s">
        <v>387</v>
      </c>
      <c r="D52" s="460" t="s">
        <v>388</v>
      </c>
      <c r="E52" t="s">
        <v>256</v>
      </c>
      <c r="F52" s="516">
        <v>49.6</v>
      </c>
      <c r="G52" s="516">
        <v>41.5</v>
      </c>
      <c r="H52" s="516">
        <v>53.4</v>
      </c>
      <c r="I52" s="516">
        <v>47.1</v>
      </c>
      <c r="J52" s="516">
        <v>60.9</v>
      </c>
      <c r="K52" s="516">
        <v>71.400000000000006</v>
      </c>
      <c r="L52" s="516">
        <v>68</v>
      </c>
      <c r="M52" s="516">
        <v>70.3</v>
      </c>
      <c r="N52" s="516">
        <v>58.8</v>
      </c>
      <c r="O52" s="516">
        <v>46</v>
      </c>
      <c r="P52" s="516">
        <v>55.8</v>
      </c>
      <c r="Q52" s="516">
        <v>58.4</v>
      </c>
      <c r="R52" s="138">
        <v>681.2</v>
      </c>
    </row>
    <row r="53" spans="1:18" x14ac:dyDescent="0.2">
      <c r="A53" t="s">
        <v>389</v>
      </c>
      <c r="B53" s="460">
        <v>252</v>
      </c>
      <c r="C53" s="460" t="s">
        <v>390</v>
      </c>
      <c r="D53" s="460" t="s">
        <v>326</v>
      </c>
      <c r="E53" t="s">
        <v>256</v>
      </c>
      <c r="F53" s="516">
        <v>68.7</v>
      </c>
      <c r="G53" s="516">
        <v>55.6</v>
      </c>
      <c r="H53" s="516">
        <v>67.099999999999994</v>
      </c>
      <c r="I53" s="516">
        <v>63.2</v>
      </c>
      <c r="J53" s="516">
        <v>77.8</v>
      </c>
      <c r="K53" s="516">
        <v>85.9</v>
      </c>
      <c r="L53" s="516">
        <v>87.2</v>
      </c>
      <c r="M53" s="516">
        <v>80.5</v>
      </c>
      <c r="N53" s="516">
        <v>62.1</v>
      </c>
      <c r="O53" s="516">
        <v>56</v>
      </c>
      <c r="P53" s="516">
        <v>70.400000000000006</v>
      </c>
      <c r="Q53" s="516">
        <v>79.8</v>
      </c>
      <c r="R53" s="138">
        <v>854.4</v>
      </c>
    </row>
    <row r="54" spans="1:18" x14ac:dyDescent="0.2">
      <c r="A54" t="s">
        <v>391</v>
      </c>
      <c r="B54" s="460">
        <v>215</v>
      </c>
      <c r="C54" s="460" t="s">
        <v>392</v>
      </c>
      <c r="D54" s="460" t="s">
        <v>379</v>
      </c>
      <c r="E54" t="s">
        <v>256</v>
      </c>
      <c r="F54" s="516">
        <v>67.3</v>
      </c>
      <c r="G54" s="516">
        <v>55</v>
      </c>
      <c r="H54" s="516">
        <v>68</v>
      </c>
      <c r="I54" s="516">
        <v>64.8</v>
      </c>
      <c r="J54" s="516">
        <v>81.599999999999994</v>
      </c>
      <c r="K54" s="516">
        <v>86.9</v>
      </c>
      <c r="L54" s="516">
        <v>92.7</v>
      </c>
      <c r="M54" s="516">
        <v>79.8</v>
      </c>
      <c r="N54" s="516">
        <v>62.1</v>
      </c>
      <c r="O54" s="516">
        <v>55.1</v>
      </c>
      <c r="P54" s="516">
        <v>70.7</v>
      </c>
      <c r="Q54" s="516">
        <v>80.7</v>
      </c>
      <c r="R54" s="138">
        <v>864.8</v>
      </c>
    </row>
    <row r="55" spans="1:18" x14ac:dyDescent="0.2">
      <c r="A55" t="s">
        <v>393</v>
      </c>
      <c r="B55" s="460">
        <v>413</v>
      </c>
      <c r="C55" s="460" t="s">
        <v>261</v>
      </c>
      <c r="D55" s="460" t="s">
        <v>394</v>
      </c>
      <c r="E55" t="s">
        <v>256</v>
      </c>
      <c r="F55" s="516">
        <v>115</v>
      </c>
      <c r="G55" s="516">
        <v>78.5</v>
      </c>
      <c r="H55" s="516">
        <v>104</v>
      </c>
      <c r="I55" s="516">
        <v>81.3</v>
      </c>
      <c r="J55" s="516">
        <v>79.599999999999994</v>
      </c>
      <c r="K55" s="516">
        <v>91.4</v>
      </c>
      <c r="L55" s="516">
        <v>94.9</v>
      </c>
      <c r="M55" s="516">
        <v>91.8</v>
      </c>
      <c r="N55" s="516">
        <v>78.099999999999994</v>
      </c>
      <c r="O55" s="516">
        <v>84.9</v>
      </c>
      <c r="P55" s="516">
        <v>105.2</v>
      </c>
      <c r="Q55" s="516">
        <v>129.4</v>
      </c>
      <c r="R55" s="138">
        <v>1134</v>
      </c>
    </row>
    <row r="56" spans="1:18" x14ac:dyDescent="0.2">
      <c r="A56" t="s">
        <v>395</v>
      </c>
      <c r="B56" s="460">
        <v>87</v>
      </c>
      <c r="C56" s="460" t="s">
        <v>396</v>
      </c>
      <c r="D56" s="460" t="s">
        <v>397</v>
      </c>
      <c r="E56" t="s">
        <v>256</v>
      </c>
      <c r="F56" s="516">
        <v>78.2</v>
      </c>
      <c r="G56" s="516">
        <v>53.1</v>
      </c>
      <c r="H56" s="516">
        <v>67.7</v>
      </c>
      <c r="I56" s="516">
        <v>55.1</v>
      </c>
      <c r="J56" s="516">
        <v>70.400000000000006</v>
      </c>
      <c r="K56" s="516">
        <v>80.5</v>
      </c>
      <c r="L56" s="516">
        <v>78.099999999999994</v>
      </c>
      <c r="M56" s="516">
        <v>69.3</v>
      </c>
      <c r="N56" s="516">
        <v>64.900000000000006</v>
      </c>
      <c r="O56" s="516">
        <v>61</v>
      </c>
      <c r="P56" s="516">
        <v>77.5</v>
      </c>
      <c r="Q56" s="516">
        <v>87.2</v>
      </c>
      <c r="R56" s="138">
        <v>843</v>
      </c>
    </row>
    <row r="57" spans="1:18" x14ac:dyDescent="0.2">
      <c r="A57" t="s">
        <v>398</v>
      </c>
      <c r="B57" s="460">
        <v>480</v>
      </c>
      <c r="C57" s="460" t="s">
        <v>399</v>
      </c>
      <c r="D57" s="460" t="s">
        <v>400</v>
      </c>
      <c r="E57" t="s">
        <v>256</v>
      </c>
      <c r="F57" s="516">
        <v>96.7</v>
      </c>
      <c r="G57" s="516">
        <v>80.2</v>
      </c>
      <c r="H57" s="516">
        <v>93.5</v>
      </c>
      <c r="I57" s="516">
        <v>69.900000000000006</v>
      </c>
      <c r="J57" s="516">
        <v>71.3</v>
      </c>
      <c r="K57" s="516">
        <v>79.400000000000006</v>
      </c>
      <c r="L57" s="516">
        <v>84.4</v>
      </c>
      <c r="M57" s="516">
        <v>72.8</v>
      </c>
      <c r="N57" s="516">
        <v>75.599999999999994</v>
      </c>
      <c r="O57" s="516">
        <v>76.5</v>
      </c>
      <c r="P57" s="516">
        <v>105.5</v>
      </c>
      <c r="Q57" s="516">
        <v>113.7</v>
      </c>
      <c r="R57" s="138">
        <v>1019.4</v>
      </c>
    </row>
    <row r="58" spans="1:18" x14ac:dyDescent="0.2">
      <c r="A58" t="s">
        <v>401</v>
      </c>
      <c r="B58" s="460">
        <v>565</v>
      </c>
      <c r="C58" s="460" t="s">
        <v>402</v>
      </c>
      <c r="D58" s="460" t="s">
        <v>403</v>
      </c>
      <c r="E58" t="s">
        <v>256</v>
      </c>
      <c r="F58" s="516">
        <v>84.5</v>
      </c>
      <c r="G58" s="516">
        <v>70.2</v>
      </c>
      <c r="H58" s="516">
        <v>82.6</v>
      </c>
      <c r="I58" s="516">
        <v>69.5</v>
      </c>
      <c r="J58" s="516">
        <v>72.7</v>
      </c>
      <c r="K58" s="516">
        <v>76.2</v>
      </c>
      <c r="L58" s="516">
        <v>84.4</v>
      </c>
      <c r="M58" s="516">
        <v>79.5</v>
      </c>
      <c r="N58" s="516">
        <v>72.8</v>
      </c>
      <c r="O58" s="516">
        <v>78.7</v>
      </c>
      <c r="P58" s="516">
        <v>100</v>
      </c>
      <c r="Q58" s="516">
        <v>101.5</v>
      </c>
      <c r="R58" s="138">
        <v>972.7</v>
      </c>
    </row>
    <row r="59" spans="1:18" x14ac:dyDescent="0.2">
      <c r="A59" t="s">
        <v>404</v>
      </c>
      <c r="B59" s="460">
        <v>88</v>
      </c>
      <c r="C59" s="460" t="s">
        <v>405</v>
      </c>
      <c r="D59" s="460" t="s">
        <v>326</v>
      </c>
      <c r="E59" t="s">
        <v>256</v>
      </c>
      <c r="F59" s="516">
        <v>60.6</v>
      </c>
      <c r="G59" s="516">
        <v>43.8</v>
      </c>
      <c r="H59" s="516">
        <v>58.4</v>
      </c>
      <c r="I59" s="516">
        <v>56</v>
      </c>
      <c r="J59" s="516">
        <v>71.7</v>
      </c>
      <c r="K59" s="516">
        <v>74.099999999999994</v>
      </c>
      <c r="L59" s="516">
        <v>74.3</v>
      </c>
      <c r="M59" s="516">
        <v>67.8</v>
      </c>
      <c r="N59" s="516">
        <v>56.9</v>
      </c>
      <c r="O59" s="516">
        <v>48.2</v>
      </c>
      <c r="P59" s="516">
        <v>63.9</v>
      </c>
      <c r="Q59" s="516">
        <v>72.599999999999994</v>
      </c>
      <c r="R59" s="138">
        <v>748.5</v>
      </c>
    </row>
    <row r="60" spans="1:18" x14ac:dyDescent="0.2">
      <c r="A60" t="s">
        <v>406</v>
      </c>
      <c r="B60" s="460">
        <v>53</v>
      </c>
      <c r="C60" s="460" t="s">
        <v>357</v>
      </c>
      <c r="D60" s="460" t="s">
        <v>407</v>
      </c>
      <c r="E60" t="s">
        <v>256</v>
      </c>
      <c r="F60" s="516">
        <v>66.599999999999994</v>
      </c>
      <c r="G60" s="516">
        <v>49.1</v>
      </c>
      <c r="H60" s="516">
        <v>64</v>
      </c>
      <c r="I60" s="516">
        <v>52.8</v>
      </c>
      <c r="J60" s="516">
        <v>66.5</v>
      </c>
      <c r="K60" s="516">
        <v>74.900000000000006</v>
      </c>
      <c r="L60" s="516">
        <v>77.7</v>
      </c>
      <c r="M60" s="516">
        <v>63.1</v>
      </c>
      <c r="N60" s="516">
        <v>63.8</v>
      </c>
      <c r="O60" s="516">
        <v>55.7</v>
      </c>
      <c r="P60" s="516">
        <v>71</v>
      </c>
      <c r="Q60" s="516">
        <v>75.099999999999994</v>
      </c>
      <c r="R60" s="138">
        <v>780.4</v>
      </c>
    </row>
    <row r="61" spans="1:18" x14ac:dyDescent="0.2">
      <c r="A61" t="s">
        <v>408</v>
      </c>
      <c r="B61" s="460">
        <v>40</v>
      </c>
      <c r="C61" s="460" t="s">
        <v>284</v>
      </c>
      <c r="D61" s="460" t="s">
        <v>409</v>
      </c>
      <c r="E61" t="s">
        <v>256</v>
      </c>
      <c r="F61" s="516">
        <v>57.3</v>
      </c>
      <c r="G61" s="516">
        <v>42.6</v>
      </c>
      <c r="H61" s="516">
        <v>58.2</v>
      </c>
      <c r="I61" s="516">
        <v>49.6</v>
      </c>
      <c r="J61" s="516">
        <v>63.7</v>
      </c>
      <c r="K61" s="516">
        <v>79.5</v>
      </c>
      <c r="L61" s="516">
        <v>75.599999999999994</v>
      </c>
      <c r="M61" s="516">
        <v>65</v>
      </c>
      <c r="N61" s="516">
        <v>56.8</v>
      </c>
      <c r="O61" s="516">
        <v>51.6</v>
      </c>
      <c r="P61" s="516">
        <v>63.9</v>
      </c>
      <c r="Q61" s="516">
        <v>65.2</v>
      </c>
      <c r="R61" s="138">
        <v>729</v>
      </c>
    </row>
    <row r="62" spans="1:18" x14ac:dyDescent="0.2">
      <c r="A62" t="s">
        <v>410</v>
      </c>
      <c r="B62" s="460">
        <v>33</v>
      </c>
      <c r="C62" s="460" t="s">
        <v>322</v>
      </c>
      <c r="D62" s="460" t="s">
        <v>411</v>
      </c>
      <c r="E62" t="s">
        <v>256</v>
      </c>
      <c r="F62" s="516">
        <v>67.400000000000006</v>
      </c>
      <c r="G62" s="516">
        <v>50.1</v>
      </c>
      <c r="H62" s="516">
        <v>63.9</v>
      </c>
      <c r="I62" s="516">
        <v>54.9</v>
      </c>
      <c r="J62" s="516">
        <v>63.7</v>
      </c>
      <c r="K62" s="516">
        <v>76.7</v>
      </c>
      <c r="L62" s="516">
        <v>76.8</v>
      </c>
      <c r="M62" s="516">
        <v>61.5</v>
      </c>
      <c r="N62" s="516">
        <v>61.7</v>
      </c>
      <c r="O62" s="516">
        <v>56.1</v>
      </c>
      <c r="P62" s="516">
        <v>72.2</v>
      </c>
      <c r="Q62" s="516">
        <v>83</v>
      </c>
      <c r="R62" s="138">
        <v>787.9</v>
      </c>
    </row>
    <row r="63" spans="1:18" x14ac:dyDescent="0.2">
      <c r="A63" t="s">
        <v>412</v>
      </c>
      <c r="B63" s="460">
        <v>120</v>
      </c>
      <c r="C63" s="460" t="s">
        <v>413</v>
      </c>
      <c r="D63" s="460" t="s">
        <v>414</v>
      </c>
      <c r="E63" t="s">
        <v>256</v>
      </c>
      <c r="F63" s="516">
        <v>69.099999999999994</v>
      </c>
      <c r="G63" s="516">
        <v>53.5</v>
      </c>
      <c r="H63" s="516">
        <v>65.7</v>
      </c>
      <c r="I63" s="516">
        <v>63.6</v>
      </c>
      <c r="J63" s="516">
        <v>69.599999999999994</v>
      </c>
      <c r="K63" s="516">
        <v>90.8</v>
      </c>
      <c r="L63" s="516">
        <v>84.1</v>
      </c>
      <c r="M63" s="516">
        <v>74.599999999999994</v>
      </c>
      <c r="N63" s="516">
        <v>68.5</v>
      </c>
      <c r="O63" s="516">
        <v>60.5</v>
      </c>
      <c r="P63" s="516">
        <v>74.3</v>
      </c>
      <c r="Q63" s="516">
        <v>81.400000000000006</v>
      </c>
      <c r="R63" s="138">
        <v>855.7</v>
      </c>
    </row>
    <row r="64" spans="1:18" x14ac:dyDescent="0.2">
      <c r="A64" t="s">
        <v>415</v>
      </c>
      <c r="B64" s="460">
        <v>96</v>
      </c>
      <c r="C64" s="460" t="s">
        <v>357</v>
      </c>
      <c r="D64" s="460" t="s">
        <v>374</v>
      </c>
      <c r="E64" t="s">
        <v>256</v>
      </c>
      <c r="F64" s="516">
        <v>50.4</v>
      </c>
      <c r="G64" s="516">
        <v>41.9</v>
      </c>
      <c r="H64" s="516">
        <v>49.3</v>
      </c>
      <c r="I64" s="516">
        <v>52.5</v>
      </c>
      <c r="J64" s="516">
        <v>59.6</v>
      </c>
      <c r="K64" s="516">
        <v>80.7</v>
      </c>
      <c r="L64" s="516">
        <v>72.900000000000006</v>
      </c>
      <c r="M64" s="516">
        <v>67.900000000000006</v>
      </c>
      <c r="N64" s="516">
        <v>53.8</v>
      </c>
      <c r="O64" s="516">
        <v>50.6</v>
      </c>
      <c r="P64" s="516">
        <v>58.1</v>
      </c>
      <c r="Q64" s="516">
        <v>64.599999999999994</v>
      </c>
      <c r="R64" s="138">
        <v>702.3</v>
      </c>
    </row>
    <row r="65" spans="1:18" x14ac:dyDescent="0.2">
      <c r="A65" t="s">
        <v>416</v>
      </c>
      <c r="B65" s="460">
        <v>100</v>
      </c>
      <c r="C65" s="460" t="s">
        <v>348</v>
      </c>
      <c r="D65" s="460" t="s">
        <v>417</v>
      </c>
      <c r="E65" t="s">
        <v>256</v>
      </c>
      <c r="F65" s="516">
        <v>61.8</v>
      </c>
      <c r="G65" s="516">
        <v>42.9</v>
      </c>
      <c r="H65" s="516">
        <v>58.2</v>
      </c>
      <c r="I65" s="516">
        <v>61.4</v>
      </c>
      <c r="J65" s="516">
        <v>69.5</v>
      </c>
      <c r="K65" s="516">
        <v>81.5</v>
      </c>
      <c r="L65" s="516">
        <v>83</v>
      </c>
      <c r="M65" s="516">
        <v>67.3</v>
      </c>
      <c r="N65" s="516">
        <v>57.9</v>
      </c>
      <c r="O65" s="516">
        <v>57</v>
      </c>
      <c r="P65" s="516">
        <v>67.400000000000006</v>
      </c>
      <c r="Q65" s="516">
        <v>70.099999999999994</v>
      </c>
      <c r="R65" s="138">
        <v>778</v>
      </c>
    </row>
    <row r="66" spans="1:18" x14ac:dyDescent="0.2">
      <c r="A66" t="s">
        <v>418</v>
      </c>
      <c r="B66" s="460">
        <v>72</v>
      </c>
      <c r="C66" s="460" t="s">
        <v>419</v>
      </c>
      <c r="D66" s="460" t="s">
        <v>420</v>
      </c>
      <c r="E66" t="s">
        <v>256</v>
      </c>
      <c r="F66" s="516">
        <v>62.9</v>
      </c>
      <c r="G66" s="516">
        <v>47.5</v>
      </c>
      <c r="H66" s="516">
        <v>58.7</v>
      </c>
      <c r="I66" s="516">
        <v>52.7</v>
      </c>
      <c r="J66" s="516">
        <v>69</v>
      </c>
      <c r="K66" s="516">
        <v>78</v>
      </c>
      <c r="L66" s="516">
        <v>72</v>
      </c>
      <c r="M66" s="516">
        <v>62.7</v>
      </c>
      <c r="N66" s="516">
        <v>64.099999999999994</v>
      </c>
      <c r="O66" s="516">
        <v>50.3</v>
      </c>
      <c r="P66" s="516">
        <v>68.900000000000006</v>
      </c>
      <c r="Q66" s="516">
        <v>74.599999999999994</v>
      </c>
      <c r="R66" s="138">
        <v>761.3</v>
      </c>
    </row>
    <row r="67" spans="1:18" x14ac:dyDescent="0.2">
      <c r="A67" t="s">
        <v>421</v>
      </c>
      <c r="B67" s="460">
        <v>192</v>
      </c>
      <c r="C67" s="460" t="s">
        <v>422</v>
      </c>
      <c r="D67" s="460" t="s">
        <v>423</v>
      </c>
      <c r="E67" t="s">
        <v>256</v>
      </c>
      <c r="F67" s="516">
        <v>115.3</v>
      </c>
      <c r="G67" s="516">
        <v>73.8</v>
      </c>
      <c r="H67" s="516">
        <v>97.1</v>
      </c>
      <c r="I67" s="516">
        <v>82.1</v>
      </c>
      <c r="J67" s="516">
        <v>84.4</v>
      </c>
      <c r="K67" s="516">
        <v>93</v>
      </c>
      <c r="L67" s="516">
        <v>96.1</v>
      </c>
      <c r="M67" s="516">
        <v>86.2</v>
      </c>
      <c r="N67" s="516">
        <v>72.5</v>
      </c>
      <c r="O67" s="516">
        <v>74.900000000000006</v>
      </c>
      <c r="P67" s="516">
        <v>102.5</v>
      </c>
      <c r="Q67" s="516">
        <v>120.1</v>
      </c>
      <c r="R67" s="138">
        <v>1097.9000000000001</v>
      </c>
    </row>
    <row r="68" spans="1:18" x14ac:dyDescent="0.2">
      <c r="A68" t="s">
        <v>424</v>
      </c>
      <c r="B68" s="460">
        <v>270</v>
      </c>
      <c r="C68" s="460" t="s">
        <v>322</v>
      </c>
      <c r="D68" s="460" t="s">
        <v>425</v>
      </c>
      <c r="E68" t="s">
        <v>256</v>
      </c>
      <c r="F68" s="516">
        <v>95.7</v>
      </c>
      <c r="G68" s="516">
        <v>65.2</v>
      </c>
      <c r="H68" s="516">
        <v>81.900000000000006</v>
      </c>
      <c r="I68" s="516">
        <v>71.900000000000006</v>
      </c>
      <c r="J68" s="516">
        <v>70.099999999999994</v>
      </c>
      <c r="K68" s="516">
        <v>82.2</v>
      </c>
      <c r="L68" s="516">
        <v>85.8</v>
      </c>
      <c r="M68" s="516">
        <v>75.7</v>
      </c>
      <c r="N68" s="516">
        <v>67.400000000000006</v>
      </c>
      <c r="O68" s="516">
        <v>64.099999999999994</v>
      </c>
      <c r="P68" s="516">
        <v>91.8</v>
      </c>
      <c r="Q68" s="516">
        <v>114.9</v>
      </c>
      <c r="R68" s="138">
        <v>966.8</v>
      </c>
    </row>
    <row r="69" spans="1:18" x14ac:dyDescent="0.2">
      <c r="A69" t="s">
        <v>426</v>
      </c>
      <c r="B69" s="460">
        <v>460</v>
      </c>
      <c r="C69" s="460" t="s">
        <v>308</v>
      </c>
      <c r="D69" s="460" t="s">
        <v>427</v>
      </c>
      <c r="E69" t="s">
        <v>256</v>
      </c>
      <c r="F69" s="516">
        <v>153.1</v>
      </c>
      <c r="G69" s="516">
        <v>111.3</v>
      </c>
      <c r="H69" s="516">
        <v>131.4</v>
      </c>
      <c r="I69" s="516">
        <v>94.9</v>
      </c>
      <c r="J69" s="516">
        <v>92.5</v>
      </c>
      <c r="K69" s="516">
        <v>114.2</v>
      </c>
      <c r="L69" s="516">
        <v>121.3</v>
      </c>
      <c r="M69" s="516">
        <v>95.2</v>
      </c>
      <c r="N69" s="516">
        <v>104.8</v>
      </c>
      <c r="O69" s="516">
        <v>111.2</v>
      </c>
      <c r="P69" s="516">
        <v>145.5</v>
      </c>
      <c r="Q69" s="516">
        <v>180.6</v>
      </c>
      <c r="R69" s="138">
        <v>1456</v>
      </c>
    </row>
    <row r="70" spans="1:18" x14ac:dyDescent="0.2">
      <c r="A70" t="s">
        <v>428</v>
      </c>
      <c r="B70" s="460">
        <v>135</v>
      </c>
      <c r="C70" s="460" t="s">
        <v>254</v>
      </c>
      <c r="D70" s="460" t="s">
        <v>400</v>
      </c>
      <c r="E70" t="s">
        <v>256</v>
      </c>
      <c r="F70" s="516">
        <v>44.1</v>
      </c>
      <c r="G70" s="516">
        <v>39.4</v>
      </c>
      <c r="H70" s="516">
        <v>51.2</v>
      </c>
      <c r="I70" s="516">
        <v>49.8</v>
      </c>
      <c r="J70" s="516">
        <v>60.2</v>
      </c>
      <c r="K70" s="516">
        <v>63.3</v>
      </c>
      <c r="L70" s="516">
        <v>63.3</v>
      </c>
      <c r="M70" s="516">
        <v>58.2</v>
      </c>
      <c r="N70" s="516">
        <v>41.5</v>
      </c>
      <c r="O70" s="516">
        <v>44.8</v>
      </c>
      <c r="P70" s="516">
        <v>51.2</v>
      </c>
      <c r="Q70" s="516">
        <v>50.8</v>
      </c>
      <c r="R70" s="138">
        <v>617.79999999999995</v>
      </c>
    </row>
    <row r="71" spans="1:18" x14ac:dyDescent="0.2">
      <c r="A71" t="s">
        <v>429</v>
      </c>
      <c r="B71" s="460">
        <v>37</v>
      </c>
      <c r="C71" s="460" t="s">
        <v>272</v>
      </c>
      <c r="D71" s="460" t="s">
        <v>430</v>
      </c>
      <c r="E71" t="s">
        <v>256</v>
      </c>
      <c r="F71" s="516">
        <v>66.900000000000006</v>
      </c>
      <c r="G71" s="516">
        <v>49.4</v>
      </c>
      <c r="H71" s="516">
        <v>63.5</v>
      </c>
      <c r="I71" s="516">
        <v>51</v>
      </c>
      <c r="J71" s="516">
        <v>70</v>
      </c>
      <c r="K71" s="516">
        <v>86.1</v>
      </c>
      <c r="L71" s="516">
        <v>71.3</v>
      </c>
      <c r="M71" s="516">
        <v>62.3</v>
      </c>
      <c r="N71" s="516">
        <v>56.7</v>
      </c>
      <c r="O71" s="516">
        <v>56.3</v>
      </c>
      <c r="P71" s="516">
        <v>65.8</v>
      </c>
      <c r="Q71" s="516">
        <v>73.5</v>
      </c>
      <c r="R71" s="138">
        <v>772.9</v>
      </c>
    </row>
    <row r="72" spans="1:18" x14ac:dyDescent="0.2">
      <c r="A72" t="s">
        <v>431</v>
      </c>
      <c r="B72" s="460">
        <v>37</v>
      </c>
      <c r="C72" s="460" t="s">
        <v>432</v>
      </c>
      <c r="D72" s="460" t="s">
        <v>433</v>
      </c>
      <c r="E72" t="s">
        <v>256</v>
      </c>
      <c r="F72" s="516">
        <v>62.6</v>
      </c>
      <c r="G72" s="516">
        <v>47.2</v>
      </c>
      <c r="H72" s="516">
        <v>61.4</v>
      </c>
      <c r="I72" s="516">
        <v>50.2</v>
      </c>
      <c r="J72" s="516">
        <v>68.5</v>
      </c>
      <c r="K72" s="516">
        <v>79.2</v>
      </c>
      <c r="L72" s="516">
        <v>74.7</v>
      </c>
      <c r="M72" s="516">
        <v>63.2</v>
      </c>
      <c r="N72" s="516">
        <v>56.8</v>
      </c>
      <c r="O72" s="516">
        <v>54.6</v>
      </c>
      <c r="P72" s="516">
        <v>67.400000000000006</v>
      </c>
      <c r="Q72" s="516">
        <v>71.099999999999994</v>
      </c>
      <c r="R72" s="138">
        <v>756.8</v>
      </c>
    </row>
    <row r="73" spans="1:18" x14ac:dyDescent="0.2">
      <c r="A73" t="s">
        <v>434</v>
      </c>
      <c r="B73" s="460">
        <v>54</v>
      </c>
      <c r="C73" s="460" t="s">
        <v>435</v>
      </c>
      <c r="D73" s="460" t="s">
        <v>436</v>
      </c>
      <c r="E73" t="s">
        <v>256</v>
      </c>
      <c r="F73" s="516">
        <v>71.8</v>
      </c>
      <c r="G73" s="516">
        <v>51.6</v>
      </c>
      <c r="H73" s="516">
        <v>67.900000000000006</v>
      </c>
      <c r="I73" s="516">
        <v>56.3</v>
      </c>
      <c r="J73" s="516">
        <v>72.7</v>
      </c>
      <c r="K73" s="516">
        <v>85.5</v>
      </c>
      <c r="L73" s="516">
        <v>81.2</v>
      </c>
      <c r="M73" s="516">
        <v>69.5</v>
      </c>
      <c r="N73" s="516">
        <v>62.9</v>
      </c>
      <c r="O73" s="516">
        <v>62.6</v>
      </c>
      <c r="P73" s="516">
        <v>72</v>
      </c>
      <c r="Q73" s="516">
        <v>78.5</v>
      </c>
      <c r="R73" s="138">
        <v>832.4</v>
      </c>
    </row>
    <row r="74" spans="1:18" x14ac:dyDescent="0.2">
      <c r="A74" t="s">
        <v>437</v>
      </c>
      <c r="B74" s="460">
        <v>37</v>
      </c>
      <c r="C74" s="460" t="s">
        <v>370</v>
      </c>
      <c r="D74" s="460" t="s">
        <v>438</v>
      </c>
      <c r="E74" t="s">
        <v>256</v>
      </c>
      <c r="F74" s="516">
        <v>63.2</v>
      </c>
      <c r="G74" s="516">
        <v>46.1</v>
      </c>
      <c r="H74" s="516">
        <v>62</v>
      </c>
      <c r="I74" s="516">
        <v>50.3</v>
      </c>
      <c r="J74" s="516">
        <v>67.599999999999994</v>
      </c>
      <c r="K74" s="516">
        <v>81.7</v>
      </c>
      <c r="L74" s="516">
        <v>74.599999999999994</v>
      </c>
      <c r="M74" s="516">
        <v>61.3</v>
      </c>
      <c r="N74" s="516">
        <v>57.8</v>
      </c>
      <c r="O74" s="516">
        <v>54.3</v>
      </c>
      <c r="P74" s="516">
        <v>64.8</v>
      </c>
      <c r="Q74" s="516">
        <v>71.2</v>
      </c>
      <c r="R74" s="138">
        <v>754.8</v>
      </c>
    </row>
    <row r="75" spans="1:18" x14ac:dyDescent="0.2">
      <c r="A75" t="s">
        <v>439</v>
      </c>
      <c r="B75" s="460">
        <v>31</v>
      </c>
      <c r="C75" s="460" t="s">
        <v>413</v>
      </c>
      <c r="D75" s="460" t="s">
        <v>440</v>
      </c>
      <c r="E75" t="s">
        <v>256</v>
      </c>
      <c r="F75" s="516">
        <v>63.3</v>
      </c>
      <c r="G75" s="516">
        <v>47.5</v>
      </c>
      <c r="H75" s="516">
        <v>61.5</v>
      </c>
      <c r="I75" s="516">
        <v>56.1</v>
      </c>
      <c r="J75" s="516">
        <v>60.3</v>
      </c>
      <c r="K75" s="516">
        <v>82.7</v>
      </c>
      <c r="L75" s="516">
        <v>73.3</v>
      </c>
      <c r="M75" s="516">
        <v>72.099999999999994</v>
      </c>
      <c r="N75" s="516">
        <v>61</v>
      </c>
      <c r="O75" s="516">
        <v>51.2</v>
      </c>
      <c r="P75" s="516">
        <v>70.099999999999994</v>
      </c>
      <c r="Q75" s="516">
        <v>75.5</v>
      </c>
      <c r="R75" s="138">
        <v>774.7</v>
      </c>
    </row>
    <row r="76" spans="1:18" x14ac:dyDescent="0.2">
      <c r="A76" t="s">
        <v>441</v>
      </c>
      <c r="B76" s="460">
        <v>33</v>
      </c>
      <c r="C76" s="460" t="s">
        <v>376</v>
      </c>
      <c r="D76" s="460" t="s">
        <v>433</v>
      </c>
      <c r="E76" t="s">
        <v>256</v>
      </c>
      <c r="F76" s="516">
        <v>64.3</v>
      </c>
      <c r="G76" s="516">
        <v>46.9</v>
      </c>
      <c r="H76" s="516">
        <v>62.9</v>
      </c>
      <c r="I76" s="516">
        <v>51.8</v>
      </c>
      <c r="J76" s="516">
        <v>64.8</v>
      </c>
      <c r="K76" s="516">
        <v>77.2</v>
      </c>
      <c r="L76" s="516">
        <v>71.2</v>
      </c>
      <c r="M76" s="516">
        <v>62.5</v>
      </c>
      <c r="N76" s="516">
        <v>57.9</v>
      </c>
      <c r="O76" s="516">
        <v>51.8</v>
      </c>
      <c r="P76" s="516">
        <v>64.7</v>
      </c>
      <c r="Q76" s="516">
        <v>72.400000000000006</v>
      </c>
      <c r="R76" s="138">
        <v>748.4</v>
      </c>
    </row>
    <row r="77" spans="1:18" x14ac:dyDescent="0.2">
      <c r="A77" t="s">
        <v>442</v>
      </c>
      <c r="B77" s="460">
        <v>21</v>
      </c>
      <c r="C77" s="460" t="s">
        <v>348</v>
      </c>
      <c r="D77" s="460" t="s">
        <v>438</v>
      </c>
      <c r="E77" t="s">
        <v>256</v>
      </c>
      <c r="F77" s="516">
        <v>65.5</v>
      </c>
      <c r="G77" s="516">
        <v>46.1</v>
      </c>
      <c r="H77" s="516">
        <v>62.5</v>
      </c>
      <c r="I77" s="516">
        <v>51.8</v>
      </c>
      <c r="J77" s="516">
        <v>60.5</v>
      </c>
      <c r="K77" s="516">
        <v>83.5</v>
      </c>
      <c r="L77" s="516">
        <v>70.7</v>
      </c>
      <c r="M77" s="516">
        <v>75.099999999999994</v>
      </c>
      <c r="N77" s="516">
        <v>59.9</v>
      </c>
      <c r="O77" s="516">
        <v>54.3</v>
      </c>
      <c r="P77" s="516">
        <v>66.2</v>
      </c>
      <c r="Q77" s="516">
        <v>75.599999999999994</v>
      </c>
      <c r="R77" s="138">
        <v>771.6</v>
      </c>
    </row>
    <row r="78" spans="1:18" x14ac:dyDescent="0.2">
      <c r="A78" t="s">
        <v>443</v>
      </c>
      <c r="B78" s="460">
        <v>85</v>
      </c>
      <c r="C78" s="460" t="s">
        <v>444</v>
      </c>
      <c r="D78" s="460" t="s">
        <v>403</v>
      </c>
      <c r="E78" t="s">
        <v>256</v>
      </c>
      <c r="F78" s="516">
        <v>54.2</v>
      </c>
      <c r="G78" s="516">
        <v>45.7</v>
      </c>
      <c r="H78" s="516">
        <v>60.9</v>
      </c>
      <c r="I78" s="516">
        <v>53.2</v>
      </c>
      <c r="J78" s="516">
        <v>69.5</v>
      </c>
      <c r="K78" s="516">
        <v>71.2</v>
      </c>
      <c r="L78" s="516">
        <v>72.3</v>
      </c>
      <c r="M78" s="516">
        <v>67.599999999999994</v>
      </c>
      <c r="N78" s="516">
        <v>53.9</v>
      </c>
      <c r="O78" s="516">
        <v>50.7</v>
      </c>
      <c r="P78" s="516">
        <v>60.7</v>
      </c>
      <c r="Q78" s="516">
        <v>63.5</v>
      </c>
      <c r="R78" s="138">
        <v>723.3</v>
      </c>
    </row>
    <row r="79" spans="1:18" x14ac:dyDescent="0.2">
      <c r="A79" t="s">
        <v>445</v>
      </c>
      <c r="B79" s="460">
        <v>43</v>
      </c>
      <c r="C79" s="460" t="s">
        <v>446</v>
      </c>
      <c r="D79" s="460" t="s">
        <v>447</v>
      </c>
      <c r="E79" t="s">
        <v>256</v>
      </c>
      <c r="F79" s="516">
        <v>61.9</v>
      </c>
      <c r="G79" s="516">
        <v>45.2</v>
      </c>
      <c r="H79" s="516">
        <v>54.7</v>
      </c>
      <c r="I79" s="516">
        <v>49.3</v>
      </c>
      <c r="J79" s="516">
        <v>61.4</v>
      </c>
      <c r="K79" s="516">
        <v>74.8</v>
      </c>
      <c r="L79" s="516">
        <v>64.400000000000006</v>
      </c>
      <c r="M79" s="516">
        <v>64</v>
      </c>
      <c r="N79" s="516">
        <v>57.9</v>
      </c>
      <c r="O79" s="516">
        <v>50.5</v>
      </c>
      <c r="P79" s="516">
        <v>66.2</v>
      </c>
      <c r="Q79" s="516">
        <v>70.900000000000006</v>
      </c>
      <c r="R79" s="138">
        <v>721</v>
      </c>
    </row>
    <row r="80" spans="1:18" x14ac:dyDescent="0.2">
      <c r="A80" t="s">
        <v>448</v>
      </c>
      <c r="B80" s="460">
        <v>144</v>
      </c>
      <c r="C80" s="460" t="s">
        <v>449</v>
      </c>
      <c r="D80" s="460" t="s">
        <v>417</v>
      </c>
      <c r="E80" t="s">
        <v>256</v>
      </c>
      <c r="F80" s="516">
        <v>118.7</v>
      </c>
      <c r="G80" s="516">
        <v>85.6</v>
      </c>
      <c r="H80" s="516">
        <v>107.9</v>
      </c>
      <c r="I80" s="516">
        <v>82.9</v>
      </c>
      <c r="J80" s="516">
        <v>82.5</v>
      </c>
      <c r="K80" s="516">
        <v>101.8</v>
      </c>
      <c r="L80" s="516">
        <v>109.7</v>
      </c>
      <c r="M80" s="516">
        <v>91.8</v>
      </c>
      <c r="N80" s="516">
        <v>88.3</v>
      </c>
      <c r="O80" s="516">
        <v>87.9</v>
      </c>
      <c r="P80" s="516">
        <v>111.1</v>
      </c>
      <c r="Q80" s="516">
        <v>132</v>
      </c>
      <c r="R80" s="138">
        <v>1200.2</v>
      </c>
    </row>
    <row r="81" spans="1:18" x14ac:dyDescent="0.2">
      <c r="A81" t="s">
        <v>450</v>
      </c>
      <c r="B81" s="460">
        <v>118</v>
      </c>
      <c r="C81" s="460" t="s">
        <v>451</v>
      </c>
      <c r="D81" s="460" t="s">
        <v>331</v>
      </c>
      <c r="E81" t="s">
        <v>256</v>
      </c>
      <c r="F81" s="516">
        <v>66.900000000000006</v>
      </c>
      <c r="G81" s="516">
        <v>48.7</v>
      </c>
      <c r="H81" s="516">
        <v>59.8</v>
      </c>
      <c r="I81" s="516">
        <v>52.9</v>
      </c>
      <c r="J81" s="516">
        <v>69.5</v>
      </c>
      <c r="K81" s="516">
        <v>75.7</v>
      </c>
      <c r="L81" s="516">
        <v>69.099999999999994</v>
      </c>
      <c r="M81" s="516">
        <v>63.8</v>
      </c>
      <c r="N81" s="516">
        <v>59.3</v>
      </c>
      <c r="O81" s="516">
        <v>51.6</v>
      </c>
      <c r="P81" s="516">
        <v>65.099999999999994</v>
      </c>
      <c r="Q81" s="516">
        <v>75.7</v>
      </c>
      <c r="R81" s="138">
        <v>758</v>
      </c>
    </row>
    <row r="82" spans="1:18" x14ac:dyDescent="0.2">
      <c r="A82" t="s">
        <v>452</v>
      </c>
      <c r="B82" s="460">
        <v>280</v>
      </c>
      <c r="C82" s="460" t="s">
        <v>373</v>
      </c>
      <c r="D82" s="460" t="s">
        <v>337</v>
      </c>
      <c r="E82" t="s">
        <v>256</v>
      </c>
      <c r="F82" s="516">
        <v>105.1</v>
      </c>
      <c r="G82" s="516">
        <v>75.400000000000006</v>
      </c>
      <c r="H82" s="516">
        <v>95.3</v>
      </c>
      <c r="I82" s="516">
        <v>78.5</v>
      </c>
      <c r="J82" s="516">
        <v>82.8</v>
      </c>
      <c r="K82" s="516">
        <v>102.9</v>
      </c>
      <c r="L82" s="516">
        <v>99.3</v>
      </c>
      <c r="M82" s="516">
        <v>83.3</v>
      </c>
      <c r="N82" s="516">
        <v>86.7</v>
      </c>
      <c r="O82" s="516">
        <v>85.5</v>
      </c>
      <c r="P82" s="516">
        <v>105.9</v>
      </c>
      <c r="Q82" s="516">
        <v>118.3</v>
      </c>
      <c r="R82" s="138">
        <v>1119</v>
      </c>
    </row>
    <row r="83" spans="1:18" x14ac:dyDescent="0.2">
      <c r="A83" t="s">
        <v>453</v>
      </c>
      <c r="B83" s="460">
        <v>78</v>
      </c>
      <c r="C83" s="460" t="s">
        <v>362</v>
      </c>
      <c r="D83" s="460" t="s">
        <v>279</v>
      </c>
      <c r="E83" t="s">
        <v>256</v>
      </c>
      <c r="F83" s="516">
        <v>60.5</v>
      </c>
      <c r="G83" s="516">
        <v>43.5</v>
      </c>
      <c r="H83" s="516">
        <v>58.6</v>
      </c>
      <c r="I83" s="516">
        <v>54.8</v>
      </c>
      <c r="J83" s="516">
        <v>69.099999999999994</v>
      </c>
      <c r="K83" s="516">
        <v>70.5</v>
      </c>
      <c r="L83" s="516">
        <v>70</v>
      </c>
      <c r="M83" s="516">
        <v>64.7</v>
      </c>
      <c r="N83" s="516">
        <v>60.5</v>
      </c>
      <c r="O83" s="516">
        <v>49.4</v>
      </c>
      <c r="P83" s="516">
        <v>63.9</v>
      </c>
      <c r="Q83" s="516">
        <v>72.599999999999994</v>
      </c>
      <c r="R83" s="138">
        <v>738</v>
      </c>
    </row>
    <row r="84" spans="1:18" x14ac:dyDescent="0.2">
      <c r="A84" t="s">
        <v>454</v>
      </c>
      <c r="B84" s="460">
        <v>106</v>
      </c>
      <c r="C84" s="460" t="s">
        <v>455</v>
      </c>
      <c r="D84" s="460" t="s">
        <v>456</v>
      </c>
      <c r="E84" t="s">
        <v>256</v>
      </c>
      <c r="F84" s="516">
        <v>43.1</v>
      </c>
      <c r="G84" s="516">
        <v>38.299999999999997</v>
      </c>
      <c r="H84" s="516">
        <v>47.8</v>
      </c>
      <c r="I84" s="516">
        <v>46.5</v>
      </c>
      <c r="J84" s="516">
        <v>61.4</v>
      </c>
      <c r="K84" s="516">
        <v>70</v>
      </c>
      <c r="L84" s="516">
        <v>63.6</v>
      </c>
      <c r="M84" s="516">
        <v>64.900000000000006</v>
      </c>
      <c r="N84" s="516">
        <v>50.9</v>
      </c>
      <c r="O84" s="516">
        <v>44.1</v>
      </c>
      <c r="P84" s="516">
        <v>51.1</v>
      </c>
      <c r="Q84" s="516">
        <v>50</v>
      </c>
      <c r="R84" s="138">
        <v>631.70000000000005</v>
      </c>
    </row>
    <row r="85" spans="1:18" x14ac:dyDescent="0.2">
      <c r="A85" t="s">
        <v>457</v>
      </c>
      <c r="B85" s="460">
        <v>99</v>
      </c>
      <c r="C85" s="460" t="s">
        <v>308</v>
      </c>
      <c r="D85" s="460" t="s">
        <v>458</v>
      </c>
      <c r="E85" t="s">
        <v>256</v>
      </c>
      <c r="F85" s="516">
        <v>57.2</v>
      </c>
      <c r="G85" s="516">
        <v>47.5</v>
      </c>
      <c r="H85" s="516">
        <v>60.5</v>
      </c>
      <c r="I85" s="516">
        <v>47</v>
      </c>
      <c r="J85" s="516">
        <v>69</v>
      </c>
      <c r="K85" s="516">
        <v>79.599999999999994</v>
      </c>
      <c r="L85" s="516">
        <v>76.400000000000006</v>
      </c>
      <c r="M85" s="516">
        <v>63.4</v>
      </c>
      <c r="N85" s="516">
        <v>58.1</v>
      </c>
      <c r="O85" s="516">
        <v>53.6</v>
      </c>
      <c r="P85" s="516">
        <v>64.599999999999994</v>
      </c>
      <c r="Q85" s="516">
        <v>68.599999999999994</v>
      </c>
      <c r="R85" s="138">
        <v>745.4</v>
      </c>
    </row>
    <row r="86" spans="1:18" x14ac:dyDescent="0.2">
      <c r="A86" t="s">
        <v>459</v>
      </c>
      <c r="B86" s="460">
        <v>500</v>
      </c>
      <c r="C86" s="460" t="s">
        <v>449</v>
      </c>
      <c r="D86" s="460" t="s">
        <v>460</v>
      </c>
      <c r="E86" t="s">
        <v>256</v>
      </c>
      <c r="F86" s="516">
        <v>143.5</v>
      </c>
      <c r="G86" s="516">
        <v>100.2</v>
      </c>
      <c r="H86" s="516">
        <v>117.1</v>
      </c>
      <c r="I86" s="516">
        <v>88.8</v>
      </c>
      <c r="J86" s="516">
        <v>84.9</v>
      </c>
      <c r="K86" s="516">
        <v>99.4</v>
      </c>
      <c r="L86" s="516">
        <v>106.4</v>
      </c>
      <c r="M86" s="516">
        <v>92.4</v>
      </c>
      <c r="N86" s="516">
        <v>89.9</v>
      </c>
      <c r="O86" s="516">
        <v>102.8</v>
      </c>
      <c r="P86" s="516">
        <v>135.69999999999999</v>
      </c>
      <c r="Q86" s="516">
        <v>162.1</v>
      </c>
      <c r="R86" s="138">
        <v>1323.1</v>
      </c>
    </row>
    <row r="87" spans="1:18" x14ac:dyDescent="0.2">
      <c r="A87" t="s">
        <v>461</v>
      </c>
      <c r="B87" s="460">
        <v>152</v>
      </c>
      <c r="C87" s="460" t="s">
        <v>387</v>
      </c>
      <c r="D87" s="460" t="s">
        <v>462</v>
      </c>
      <c r="E87" t="s">
        <v>256</v>
      </c>
      <c r="F87" s="516">
        <v>56.9</v>
      </c>
      <c r="G87" s="516">
        <v>51.6</v>
      </c>
      <c r="H87" s="516">
        <v>60.6</v>
      </c>
      <c r="I87" s="516">
        <v>56.5</v>
      </c>
      <c r="J87" s="516">
        <v>66.3</v>
      </c>
      <c r="K87" s="516">
        <v>76.900000000000006</v>
      </c>
      <c r="L87" s="516">
        <v>71.8</v>
      </c>
      <c r="M87" s="516">
        <v>62</v>
      </c>
      <c r="N87" s="516">
        <v>54.5</v>
      </c>
      <c r="O87" s="516">
        <v>54.2</v>
      </c>
      <c r="P87" s="516">
        <v>64</v>
      </c>
      <c r="Q87" s="516">
        <v>65.3</v>
      </c>
      <c r="R87" s="138">
        <v>740.6</v>
      </c>
    </row>
    <row r="88" spans="1:18" x14ac:dyDescent="0.2">
      <c r="A88" t="s">
        <v>463</v>
      </c>
      <c r="B88" s="460">
        <v>351</v>
      </c>
      <c r="C88" s="460" t="s">
        <v>464</v>
      </c>
      <c r="D88" s="460" t="s">
        <v>465</v>
      </c>
      <c r="E88" t="s">
        <v>256</v>
      </c>
      <c r="F88" s="516">
        <v>111.9</v>
      </c>
      <c r="G88" s="516">
        <v>79.3</v>
      </c>
      <c r="H88" s="516">
        <v>94.8</v>
      </c>
      <c r="I88" s="516">
        <v>78.5</v>
      </c>
      <c r="J88" s="516">
        <v>84.9</v>
      </c>
      <c r="K88" s="516">
        <v>96.3</v>
      </c>
      <c r="L88" s="516">
        <v>103.9</v>
      </c>
      <c r="M88" s="516">
        <v>85</v>
      </c>
      <c r="N88" s="516">
        <v>78</v>
      </c>
      <c r="O88" s="516">
        <v>82.1</v>
      </c>
      <c r="P88" s="516">
        <v>108.3</v>
      </c>
      <c r="Q88" s="516">
        <v>125</v>
      </c>
      <c r="R88" s="138">
        <v>1128</v>
      </c>
    </row>
    <row r="89" spans="1:18" x14ac:dyDescent="0.2">
      <c r="A89" t="s">
        <v>466</v>
      </c>
      <c r="B89" s="460">
        <v>100</v>
      </c>
      <c r="C89" s="460" t="s">
        <v>467</v>
      </c>
      <c r="D89" s="460" t="s">
        <v>468</v>
      </c>
      <c r="E89" t="s">
        <v>256</v>
      </c>
      <c r="F89" s="516">
        <v>75.8</v>
      </c>
      <c r="G89" s="516">
        <v>52.5</v>
      </c>
      <c r="H89" s="516">
        <v>72</v>
      </c>
      <c r="I89" s="516">
        <v>66.2</v>
      </c>
      <c r="J89" s="516">
        <v>73.8</v>
      </c>
      <c r="K89" s="516">
        <v>92.9</v>
      </c>
      <c r="L89" s="516">
        <v>79.900000000000006</v>
      </c>
      <c r="M89" s="516">
        <v>68.5</v>
      </c>
      <c r="N89" s="516">
        <v>67.599999999999994</v>
      </c>
      <c r="O89" s="516">
        <v>65.7</v>
      </c>
      <c r="P89" s="516">
        <v>78.099999999999994</v>
      </c>
      <c r="Q89" s="516">
        <v>86.6</v>
      </c>
      <c r="R89" s="138">
        <v>879.7</v>
      </c>
    </row>
    <row r="90" spans="1:18" x14ac:dyDescent="0.2">
      <c r="A90" t="s">
        <v>469</v>
      </c>
      <c r="B90" s="460">
        <v>150</v>
      </c>
      <c r="C90" s="460" t="s">
        <v>376</v>
      </c>
      <c r="D90" s="460" t="s">
        <v>470</v>
      </c>
      <c r="E90" t="s">
        <v>256</v>
      </c>
      <c r="F90" s="516">
        <v>80.8</v>
      </c>
      <c r="G90" s="516">
        <v>56.6</v>
      </c>
      <c r="H90" s="516">
        <v>74.5</v>
      </c>
      <c r="I90" s="516">
        <v>68</v>
      </c>
      <c r="J90" s="516">
        <v>73.400000000000006</v>
      </c>
      <c r="K90" s="516">
        <v>96.8</v>
      </c>
      <c r="L90" s="516">
        <v>89</v>
      </c>
      <c r="M90" s="516">
        <v>76.7</v>
      </c>
      <c r="N90" s="516">
        <v>72.8</v>
      </c>
      <c r="O90" s="516">
        <v>69.5</v>
      </c>
      <c r="P90" s="516">
        <v>83</v>
      </c>
      <c r="Q90" s="516">
        <v>90.3</v>
      </c>
      <c r="R90" s="138">
        <v>931.4</v>
      </c>
    </row>
    <row r="91" spans="1:18" x14ac:dyDescent="0.2">
      <c r="A91" t="s">
        <v>471</v>
      </c>
      <c r="B91" s="460">
        <v>37</v>
      </c>
      <c r="C91" s="460" t="s">
        <v>413</v>
      </c>
      <c r="D91" s="460" t="s">
        <v>472</v>
      </c>
      <c r="E91" t="s">
        <v>256</v>
      </c>
      <c r="F91" s="516">
        <v>65.7</v>
      </c>
      <c r="G91" s="516">
        <v>49.3</v>
      </c>
      <c r="H91" s="516">
        <v>66.3</v>
      </c>
      <c r="I91" s="516">
        <v>59.2</v>
      </c>
      <c r="J91" s="516">
        <v>71.2</v>
      </c>
      <c r="K91" s="516">
        <v>87.3</v>
      </c>
      <c r="L91" s="516">
        <v>84.4</v>
      </c>
      <c r="M91" s="516">
        <v>69.7</v>
      </c>
      <c r="N91" s="516">
        <v>62.5</v>
      </c>
      <c r="O91" s="516">
        <v>58.9</v>
      </c>
      <c r="P91" s="516">
        <v>74.2</v>
      </c>
      <c r="Q91" s="516">
        <v>75.7</v>
      </c>
      <c r="R91" s="138">
        <v>824.3</v>
      </c>
    </row>
    <row r="92" spans="1:18" x14ac:dyDescent="0.2">
      <c r="A92" t="s">
        <v>473</v>
      </c>
      <c r="B92" s="460">
        <v>250</v>
      </c>
      <c r="C92" s="460" t="s">
        <v>474</v>
      </c>
      <c r="D92" s="460" t="s">
        <v>475</v>
      </c>
      <c r="E92" t="s">
        <v>256</v>
      </c>
      <c r="F92" s="516">
        <v>73.7</v>
      </c>
      <c r="G92" s="516">
        <v>51.5</v>
      </c>
      <c r="H92" s="516">
        <v>64.400000000000006</v>
      </c>
      <c r="I92" s="516">
        <v>64.3</v>
      </c>
      <c r="J92" s="516">
        <v>72.900000000000006</v>
      </c>
      <c r="K92" s="516">
        <v>87.4</v>
      </c>
      <c r="L92" s="516">
        <v>76.099999999999994</v>
      </c>
      <c r="M92" s="516">
        <v>73.7</v>
      </c>
      <c r="N92" s="516">
        <v>67.400000000000006</v>
      </c>
      <c r="O92" s="516">
        <v>56.6</v>
      </c>
      <c r="P92" s="516">
        <v>72.8</v>
      </c>
      <c r="Q92" s="516">
        <v>85.2</v>
      </c>
      <c r="R92" s="138">
        <v>845.9</v>
      </c>
    </row>
    <row r="93" spans="1:18" x14ac:dyDescent="0.2">
      <c r="A93" t="s">
        <v>476</v>
      </c>
      <c r="B93" s="460">
        <v>250</v>
      </c>
      <c r="C93" s="460" t="s">
        <v>477</v>
      </c>
      <c r="D93" s="460" t="s">
        <v>478</v>
      </c>
      <c r="E93" t="s">
        <v>256</v>
      </c>
      <c r="F93" s="516">
        <v>96.2</v>
      </c>
      <c r="G93" s="516">
        <v>65.2</v>
      </c>
      <c r="H93" s="516">
        <v>85.7</v>
      </c>
      <c r="I93" s="516">
        <v>65</v>
      </c>
      <c r="J93" s="516">
        <v>73.900000000000006</v>
      </c>
      <c r="K93" s="516">
        <v>87.4</v>
      </c>
      <c r="L93" s="516">
        <v>86.8</v>
      </c>
      <c r="M93" s="516">
        <v>73.599999999999994</v>
      </c>
      <c r="N93" s="516">
        <v>71.400000000000006</v>
      </c>
      <c r="O93" s="516">
        <v>68.8</v>
      </c>
      <c r="P93" s="516">
        <v>93.2</v>
      </c>
      <c r="Q93" s="516">
        <v>109.6</v>
      </c>
      <c r="R93" s="138">
        <v>976.8</v>
      </c>
    </row>
    <row r="94" spans="1:18" x14ac:dyDescent="0.2">
      <c r="A94" t="s">
        <v>479</v>
      </c>
      <c r="B94" s="460">
        <v>67</v>
      </c>
      <c r="C94" s="460" t="s">
        <v>480</v>
      </c>
      <c r="D94" s="460" t="s">
        <v>440</v>
      </c>
      <c r="E94" t="s">
        <v>256</v>
      </c>
      <c r="F94" s="516">
        <v>55.5</v>
      </c>
      <c r="G94" s="516">
        <v>46</v>
      </c>
      <c r="H94" s="516">
        <v>64.900000000000006</v>
      </c>
      <c r="I94" s="516">
        <v>48.5</v>
      </c>
      <c r="J94" s="516">
        <v>65.2</v>
      </c>
      <c r="K94" s="516">
        <v>74.8</v>
      </c>
      <c r="L94" s="516">
        <v>67.5</v>
      </c>
      <c r="M94" s="516">
        <v>68.900000000000006</v>
      </c>
      <c r="N94" s="516">
        <v>55.1</v>
      </c>
      <c r="O94" s="516">
        <v>47.8</v>
      </c>
      <c r="P94" s="516">
        <v>59.6</v>
      </c>
      <c r="Q94" s="516">
        <v>66.2</v>
      </c>
      <c r="R94" s="138">
        <v>719.8</v>
      </c>
    </row>
    <row r="95" spans="1:18" x14ac:dyDescent="0.2">
      <c r="A95" t="s">
        <v>481</v>
      </c>
      <c r="B95" s="460">
        <v>121</v>
      </c>
      <c r="C95" s="460" t="s">
        <v>345</v>
      </c>
      <c r="D95" s="460" t="s">
        <v>427</v>
      </c>
      <c r="E95" t="s">
        <v>256</v>
      </c>
      <c r="F95" s="516">
        <v>66</v>
      </c>
      <c r="G95" s="516">
        <v>48.5</v>
      </c>
      <c r="H95" s="516">
        <v>61.8</v>
      </c>
      <c r="I95" s="516">
        <v>60.1</v>
      </c>
      <c r="J95" s="516">
        <v>68</v>
      </c>
      <c r="K95" s="516">
        <v>82.3</v>
      </c>
      <c r="L95" s="516">
        <v>82.2</v>
      </c>
      <c r="M95" s="516">
        <v>72</v>
      </c>
      <c r="N95" s="516">
        <v>58.5</v>
      </c>
      <c r="O95" s="516">
        <v>55.1</v>
      </c>
      <c r="P95" s="516">
        <v>65.8</v>
      </c>
      <c r="Q95" s="516">
        <v>77</v>
      </c>
      <c r="R95" s="138">
        <v>797.4</v>
      </c>
    </row>
    <row r="96" spans="1:18" x14ac:dyDescent="0.2">
      <c r="A96" t="s">
        <v>482</v>
      </c>
      <c r="B96" s="460">
        <v>78</v>
      </c>
      <c r="C96" s="460" t="s">
        <v>299</v>
      </c>
      <c r="D96" s="460" t="s">
        <v>483</v>
      </c>
      <c r="E96" t="s">
        <v>256</v>
      </c>
      <c r="F96" s="516">
        <v>63.6</v>
      </c>
      <c r="G96" s="516">
        <v>52.4</v>
      </c>
      <c r="H96" s="516">
        <v>66.900000000000006</v>
      </c>
      <c r="I96" s="516">
        <v>59.9</v>
      </c>
      <c r="J96" s="516">
        <v>70.8</v>
      </c>
      <c r="K96" s="516">
        <v>75.099999999999994</v>
      </c>
      <c r="L96" s="516">
        <v>81.5</v>
      </c>
      <c r="M96" s="516">
        <v>86.7</v>
      </c>
      <c r="N96" s="516">
        <v>55.8</v>
      </c>
      <c r="O96" s="516">
        <v>59.6</v>
      </c>
      <c r="P96" s="516">
        <v>70.900000000000006</v>
      </c>
      <c r="Q96" s="516">
        <v>71.3</v>
      </c>
      <c r="R96" s="138">
        <v>814.5</v>
      </c>
    </row>
    <row r="97" spans="1:18" x14ac:dyDescent="0.2">
      <c r="A97" t="s">
        <v>484</v>
      </c>
      <c r="B97" s="460">
        <v>23</v>
      </c>
      <c r="C97" s="460" t="s">
        <v>357</v>
      </c>
      <c r="D97" s="460" t="s">
        <v>485</v>
      </c>
      <c r="E97" t="s">
        <v>256</v>
      </c>
      <c r="F97" s="516">
        <v>61.2</v>
      </c>
      <c r="G97" s="516">
        <v>46.9</v>
      </c>
      <c r="H97" s="516">
        <v>63.3</v>
      </c>
      <c r="I97" s="516">
        <v>49.8</v>
      </c>
      <c r="J97" s="516">
        <v>60.6</v>
      </c>
      <c r="K97" s="516">
        <v>76.8</v>
      </c>
      <c r="L97" s="516">
        <v>68.099999999999994</v>
      </c>
      <c r="M97" s="516">
        <v>60.6</v>
      </c>
      <c r="N97" s="516">
        <v>56.4</v>
      </c>
      <c r="O97" s="516">
        <v>54.5</v>
      </c>
      <c r="P97" s="516">
        <v>67.599999999999994</v>
      </c>
      <c r="Q97" s="516">
        <v>73.5</v>
      </c>
      <c r="R97" s="138">
        <v>739.2</v>
      </c>
    </row>
    <row r="98" spans="1:18" x14ac:dyDescent="0.2">
      <c r="A98" t="s">
        <v>486</v>
      </c>
      <c r="B98" s="460">
        <v>40</v>
      </c>
      <c r="C98" s="460" t="s">
        <v>413</v>
      </c>
      <c r="D98" s="460" t="s">
        <v>487</v>
      </c>
      <c r="E98" t="s">
        <v>256</v>
      </c>
      <c r="F98" s="516">
        <v>61.8</v>
      </c>
      <c r="G98" s="516">
        <v>46.5</v>
      </c>
      <c r="H98" s="516">
        <v>62.1</v>
      </c>
      <c r="I98" s="516">
        <v>51.5</v>
      </c>
      <c r="J98" s="516">
        <v>61.4</v>
      </c>
      <c r="K98" s="516">
        <v>77.7</v>
      </c>
      <c r="L98" s="516">
        <v>67.599999999999994</v>
      </c>
      <c r="M98" s="516">
        <v>60.8</v>
      </c>
      <c r="N98" s="516">
        <v>55</v>
      </c>
      <c r="O98" s="516">
        <v>53.5</v>
      </c>
      <c r="P98" s="516">
        <v>68.2</v>
      </c>
      <c r="Q98" s="516">
        <v>69.7</v>
      </c>
      <c r="R98" s="138">
        <v>735.8</v>
      </c>
    </row>
    <row r="99" spans="1:18" x14ac:dyDescent="0.2">
      <c r="A99" t="s">
        <v>488</v>
      </c>
      <c r="B99" s="460">
        <v>93</v>
      </c>
      <c r="C99" s="460" t="s">
        <v>489</v>
      </c>
      <c r="D99" s="460" t="s">
        <v>490</v>
      </c>
      <c r="E99" t="s">
        <v>256</v>
      </c>
      <c r="F99" s="516">
        <v>73.099999999999994</v>
      </c>
      <c r="G99" s="516">
        <v>52.8</v>
      </c>
      <c r="H99" s="516">
        <v>69</v>
      </c>
      <c r="I99" s="516">
        <v>59.6</v>
      </c>
      <c r="J99" s="516">
        <v>71.099999999999994</v>
      </c>
      <c r="K99" s="516">
        <v>84</v>
      </c>
      <c r="L99" s="516">
        <v>86.4</v>
      </c>
      <c r="M99" s="516">
        <v>70.599999999999994</v>
      </c>
      <c r="N99" s="516">
        <v>72.900000000000006</v>
      </c>
      <c r="O99" s="516">
        <v>63.9</v>
      </c>
      <c r="P99" s="516">
        <v>78.900000000000006</v>
      </c>
      <c r="Q99" s="516">
        <v>85.3</v>
      </c>
      <c r="R99" s="138">
        <v>867.5</v>
      </c>
    </row>
    <row r="100" spans="1:18" x14ac:dyDescent="0.2">
      <c r="A100" t="s">
        <v>491</v>
      </c>
      <c r="B100" s="460">
        <v>34</v>
      </c>
      <c r="C100" s="460" t="s">
        <v>390</v>
      </c>
      <c r="D100" s="460" t="s">
        <v>492</v>
      </c>
      <c r="E100" t="s">
        <v>256</v>
      </c>
      <c r="F100" s="516">
        <v>66</v>
      </c>
      <c r="G100" s="516">
        <v>50.2</v>
      </c>
      <c r="H100" s="516">
        <v>68.2</v>
      </c>
      <c r="I100" s="516">
        <v>57.6</v>
      </c>
      <c r="J100" s="516">
        <v>70.599999999999994</v>
      </c>
      <c r="K100" s="516">
        <v>83.2</v>
      </c>
      <c r="L100" s="516">
        <v>77.099999999999994</v>
      </c>
      <c r="M100" s="516">
        <v>65.7</v>
      </c>
      <c r="N100" s="516">
        <v>67.3</v>
      </c>
      <c r="O100" s="516">
        <v>59.9</v>
      </c>
      <c r="P100" s="516">
        <v>71.599999999999994</v>
      </c>
      <c r="Q100" s="516">
        <v>77.2</v>
      </c>
      <c r="R100" s="138">
        <v>814.5</v>
      </c>
    </row>
    <row r="101" spans="1:18" x14ac:dyDescent="0.2">
      <c r="A101" t="s">
        <v>493</v>
      </c>
      <c r="B101" s="460">
        <v>62</v>
      </c>
      <c r="C101" s="460" t="s">
        <v>334</v>
      </c>
      <c r="D101" s="460" t="s">
        <v>411</v>
      </c>
      <c r="E101" t="s">
        <v>256</v>
      </c>
      <c r="F101" s="516">
        <v>73.900000000000006</v>
      </c>
      <c r="G101" s="516">
        <v>48.2</v>
      </c>
      <c r="H101" s="516">
        <v>62.5</v>
      </c>
      <c r="I101" s="516">
        <v>56.3</v>
      </c>
      <c r="J101" s="516">
        <v>68</v>
      </c>
      <c r="K101" s="516">
        <v>75.900000000000006</v>
      </c>
      <c r="L101" s="516">
        <v>67.5</v>
      </c>
      <c r="M101" s="516">
        <v>68.900000000000006</v>
      </c>
      <c r="N101" s="516">
        <v>60.8</v>
      </c>
      <c r="O101" s="516">
        <v>60.7</v>
      </c>
      <c r="P101" s="516">
        <v>73.5</v>
      </c>
      <c r="Q101" s="516">
        <v>84.8</v>
      </c>
      <c r="R101" s="138">
        <v>800.9</v>
      </c>
    </row>
    <row r="102" spans="1:18" x14ac:dyDescent="0.2">
      <c r="A102" t="s">
        <v>494</v>
      </c>
      <c r="B102" s="460">
        <v>215</v>
      </c>
      <c r="C102" s="460" t="s">
        <v>489</v>
      </c>
      <c r="D102" s="460" t="s">
        <v>313</v>
      </c>
      <c r="E102" t="s">
        <v>256</v>
      </c>
      <c r="F102" s="516">
        <v>60.2</v>
      </c>
      <c r="G102" s="516">
        <v>49.2</v>
      </c>
      <c r="H102" s="516">
        <v>61.2</v>
      </c>
      <c r="I102" s="516">
        <v>60.7</v>
      </c>
      <c r="J102" s="516">
        <v>76.099999999999994</v>
      </c>
      <c r="K102" s="516">
        <v>86</v>
      </c>
      <c r="L102" s="516">
        <v>87.9</v>
      </c>
      <c r="M102" s="516">
        <v>77.5</v>
      </c>
      <c r="N102" s="516">
        <v>61.8</v>
      </c>
      <c r="O102" s="516">
        <v>51.4</v>
      </c>
      <c r="P102" s="516">
        <v>64.599999999999994</v>
      </c>
      <c r="Q102" s="516">
        <v>70.7</v>
      </c>
      <c r="R102" s="138">
        <v>807.3</v>
      </c>
    </row>
    <row r="103" spans="1:18" x14ac:dyDescent="0.2">
      <c r="A103" t="s">
        <v>495</v>
      </c>
      <c r="B103" s="460">
        <v>16</v>
      </c>
      <c r="C103" s="460" t="s">
        <v>496</v>
      </c>
      <c r="D103" s="460" t="s">
        <v>255</v>
      </c>
      <c r="E103" t="s">
        <v>256</v>
      </c>
      <c r="F103" s="516">
        <v>67.7</v>
      </c>
      <c r="G103" s="516">
        <v>47.8</v>
      </c>
      <c r="H103" s="516">
        <v>66.7</v>
      </c>
      <c r="I103" s="516">
        <v>50.7</v>
      </c>
      <c r="J103" s="516">
        <v>62.1</v>
      </c>
      <c r="K103" s="516">
        <v>74.900000000000006</v>
      </c>
      <c r="L103" s="516">
        <v>70</v>
      </c>
      <c r="M103" s="516">
        <v>61.9</v>
      </c>
      <c r="N103" s="516">
        <v>65.7</v>
      </c>
      <c r="O103" s="516">
        <v>58.2</v>
      </c>
      <c r="P103" s="516">
        <v>74.099999999999994</v>
      </c>
      <c r="Q103" s="516">
        <v>80.400000000000006</v>
      </c>
      <c r="R103" s="138">
        <v>780.2</v>
      </c>
    </row>
    <row r="104" spans="1:18" x14ac:dyDescent="0.2">
      <c r="A104" t="s">
        <v>497</v>
      </c>
      <c r="B104" s="460">
        <v>71</v>
      </c>
      <c r="C104" s="460" t="s">
        <v>305</v>
      </c>
      <c r="D104" s="460" t="s">
        <v>498</v>
      </c>
      <c r="E104" t="s">
        <v>256</v>
      </c>
      <c r="F104" s="516">
        <v>55.8</v>
      </c>
      <c r="G104" s="516">
        <v>44.9</v>
      </c>
      <c r="H104" s="516">
        <v>60.4</v>
      </c>
      <c r="I104" s="516">
        <v>51.5</v>
      </c>
      <c r="J104" s="516">
        <v>66</v>
      </c>
      <c r="K104" s="516">
        <v>71.8</v>
      </c>
      <c r="L104" s="516">
        <v>69.099999999999994</v>
      </c>
      <c r="M104" s="516">
        <v>63.3</v>
      </c>
      <c r="N104" s="516">
        <v>51.8</v>
      </c>
      <c r="O104" s="516">
        <v>53.1</v>
      </c>
      <c r="P104" s="516">
        <v>61.7</v>
      </c>
      <c r="Q104" s="516">
        <v>66.7</v>
      </c>
      <c r="R104" s="138">
        <v>716.3</v>
      </c>
    </row>
    <row r="105" spans="1:18" x14ac:dyDescent="0.2">
      <c r="A105" t="s">
        <v>499</v>
      </c>
      <c r="B105" s="460">
        <v>40</v>
      </c>
      <c r="C105" s="460" t="s">
        <v>500</v>
      </c>
      <c r="D105" s="460" t="s">
        <v>468</v>
      </c>
      <c r="E105" t="s">
        <v>256</v>
      </c>
      <c r="F105" s="516">
        <v>71.900000000000006</v>
      </c>
      <c r="G105" s="516">
        <v>48.8</v>
      </c>
      <c r="H105" s="516">
        <v>62.1</v>
      </c>
      <c r="I105" s="516">
        <v>53.3</v>
      </c>
      <c r="J105" s="516">
        <v>64.2</v>
      </c>
      <c r="K105" s="516">
        <v>75.599999999999994</v>
      </c>
      <c r="L105" s="516">
        <v>75.900000000000006</v>
      </c>
      <c r="M105" s="516">
        <v>69.099999999999994</v>
      </c>
      <c r="N105" s="516">
        <v>65.599999999999994</v>
      </c>
      <c r="O105" s="516">
        <v>60.3</v>
      </c>
      <c r="P105" s="516">
        <v>76.900000000000006</v>
      </c>
      <c r="Q105" s="516">
        <v>79.3</v>
      </c>
      <c r="R105" s="138">
        <v>802.9</v>
      </c>
    </row>
    <row r="106" spans="1:18" x14ac:dyDescent="0.2">
      <c r="A106" t="s">
        <v>501</v>
      </c>
      <c r="B106" s="460">
        <v>72</v>
      </c>
      <c r="C106" s="460" t="s">
        <v>290</v>
      </c>
      <c r="D106" s="460" t="s">
        <v>502</v>
      </c>
      <c r="E106" t="s">
        <v>256</v>
      </c>
      <c r="F106" s="516">
        <v>64.7</v>
      </c>
      <c r="G106" s="516">
        <v>47.8</v>
      </c>
      <c r="H106" s="516">
        <v>59.7</v>
      </c>
      <c r="I106" s="516">
        <v>54.9</v>
      </c>
      <c r="J106" s="516">
        <v>64.2</v>
      </c>
      <c r="K106" s="516">
        <v>78.599999999999994</v>
      </c>
      <c r="L106" s="516">
        <v>71.7</v>
      </c>
      <c r="M106" s="516">
        <v>67.3</v>
      </c>
      <c r="N106" s="516">
        <v>62.5</v>
      </c>
      <c r="O106" s="516">
        <v>51.7</v>
      </c>
      <c r="P106" s="516">
        <v>64.400000000000006</v>
      </c>
      <c r="Q106" s="516">
        <v>74.2</v>
      </c>
      <c r="R106" s="138">
        <v>761.7</v>
      </c>
    </row>
    <row r="107" spans="1:18" x14ac:dyDescent="0.2">
      <c r="A107" t="s">
        <v>503</v>
      </c>
      <c r="B107" s="460">
        <v>76</v>
      </c>
      <c r="C107" s="460" t="s">
        <v>504</v>
      </c>
      <c r="D107" s="460" t="s">
        <v>505</v>
      </c>
      <c r="E107" t="s">
        <v>256</v>
      </c>
      <c r="F107" s="516">
        <v>62.9</v>
      </c>
      <c r="G107" s="516">
        <v>45.1</v>
      </c>
      <c r="H107" s="516">
        <v>58.5</v>
      </c>
      <c r="I107" s="516">
        <v>52.8</v>
      </c>
      <c r="J107" s="516">
        <v>64.3</v>
      </c>
      <c r="K107" s="516">
        <v>70.099999999999994</v>
      </c>
      <c r="L107" s="516">
        <v>68.099999999999994</v>
      </c>
      <c r="M107" s="516">
        <v>64.099999999999994</v>
      </c>
      <c r="N107" s="516">
        <v>61.3</v>
      </c>
      <c r="O107" s="516">
        <v>49</v>
      </c>
      <c r="P107" s="516">
        <v>63.5</v>
      </c>
      <c r="Q107" s="516">
        <v>74.400000000000006</v>
      </c>
      <c r="R107" s="138">
        <v>734.1</v>
      </c>
    </row>
    <row r="108" spans="1:18" x14ac:dyDescent="0.2">
      <c r="A108" t="s">
        <v>506</v>
      </c>
      <c r="B108" s="460">
        <v>250</v>
      </c>
      <c r="C108" s="460" t="s">
        <v>312</v>
      </c>
      <c r="D108" s="460" t="s">
        <v>507</v>
      </c>
      <c r="E108" t="s">
        <v>256</v>
      </c>
      <c r="F108" s="516">
        <v>129.5</v>
      </c>
      <c r="G108" s="516">
        <v>90.9</v>
      </c>
      <c r="H108" s="516">
        <v>112.4</v>
      </c>
      <c r="I108" s="516">
        <v>88.1</v>
      </c>
      <c r="J108" s="516">
        <v>88.4</v>
      </c>
      <c r="K108" s="516">
        <v>99.9</v>
      </c>
      <c r="L108" s="516">
        <v>107.7</v>
      </c>
      <c r="M108" s="516">
        <v>90.5</v>
      </c>
      <c r="N108" s="516">
        <v>97.5</v>
      </c>
      <c r="O108" s="516">
        <v>95.4</v>
      </c>
      <c r="P108" s="516">
        <v>122.7</v>
      </c>
      <c r="Q108" s="516">
        <v>145.9</v>
      </c>
      <c r="R108" s="138">
        <v>1268.8</v>
      </c>
    </row>
    <row r="109" spans="1:18" x14ac:dyDescent="0.2">
      <c r="A109" t="s">
        <v>508</v>
      </c>
      <c r="B109" s="460">
        <v>291</v>
      </c>
      <c r="C109" s="460" t="s">
        <v>272</v>
      </c>
      <c r="D109" s="460" t="s">
        <v>371</v>
      </c>
      <c r="E109" t="s">
        <v>256</v>
      </c>
      <c r="F109" s="516">
        <v>107.3</v>
      </c>
      <c r="G109" s="516">
        <v>75.599999999999994</v>
      </c>
      <c r="H109" s="516">
        <v>99.2</v>
      </c>
      <c r="I109" s="516">
        <v>85</v>
      </c>
      <c r="J109" s="516">
        <v>90.2</v>
      </c>
      <c r="K109" s="516">
        <v>103.8</v>
      </c>
      <c r="L109" s="516">
        <v>108.6</v>
      </c>
      <c r="M109" s="516">
        <v>88.2</v>
      </c>
      <c r="N109" s="516">
        <v>85.3</v>
      </c>
      <c r="O109" s="516">
        <v>87.2</v>
      </c>
      <c r="P109" s="516">
        <v>107.8</v>
      </c>
      <c r="Q109" s="516">
        <v>118.2</v>
      </c>
      <c r="R109" s="138">
        <v>1156.3</v>
      </c>
    </row>
    <row r="110" spans="1:18" x14ac:dyDescent="0.2">
      <c r="A110" t="s">
        <v>509</v>
      </c>
      <c r="B110" s="460">
        <v>100</v>
      </c>
      <c r="C110" s="460" t="s">
        <v>376</v>
      </c>
      <c r="D110" s="460" t="s">
        <v>276</v>
      </c>
      <c r="E110" t="s">
        <v>256</v>
      </c>
      <c r="F110" s="516">
        <v>77.5</v>
      </c>
      <c r="G110" s="516">
        <v>57.6</v>
      </c>
      <c r="H110" s="516">
        <v>71.8</v>
      </c>
      <c r="I110" s="516">
        <v>67.3</v>
      </c>
      <c r="J110" s="516">
        <v>72.3</v>
      </c>
      <c r="K110" s="516">
        <v>87.6</v>
      </c>
      <c r="L110" s="516">
        <v>90.6</v>
      </c>
      <c r="M110" s="516">
        <v>77.2</v>
      </c>
      <c r="N110" s="516">
        <v>66.7</v>
      </c>
      <c r="O110" s="516">
        <v>62.2</v>
      </c>
      <c r="P110" s="516">
        <v>78.400000000000006</v>
      </c>
      <c r="Q110" s="516">
        <v>90.4</v>
      </c>
      <c r="R110" s="138">
        <v>899.6</v>
      </c>
    </row>
    <row r="111" spans="1:18" x14ac:dyDescent="0.2">
      <c r="A111" t="s">
        <v>510</v>
      </c>
      <c r="B111" s="460">
        <v>205</v>
      </c>
      <c r="C111" s="460" t="s">
        <v>511</v>
      </c>
      <c r="D111" s="460" t="s">
        <v>414</v>
      </c>
      <c r="E111" t="s">
        <v>256</v>
      </c>
      <c r="F111" s="516">
        <v>115.1</v>
      </c>
      <c r="G111" s="516">
        <v>80.900000000000006</v>
      </c>
      <c r="H111" s="516">
        <v>102.6</v>
      </c>
      <c r="I111" s="516">
        <v>83.6</v>
      </c>
      <c r="J111" s="516">
        <v>81.3</v>
      </c>
      <c r="K111" s="516">
        <v>98.5</v>
      </c>
      <c r="L111" s="516">
        <v>104.5</v>
      </c>
      <c r="M111" s="516">
        <v>82.5</v>
      </c>
      <c r="N111" s="516">
        <v>82.4</v>
      </c>
      <c r="O111" s="516">
        <v>87.1</v>
      </c>
      <c r="P111" s="516">
        <v>110.5</v>
      </c>
      <c r="Q111" s="516">
        <v>128.30000000000001</v>
      </c>
      <c r="R111" s="138">
        <v>1157.4000000000001</v>
      </c>
    </row>
    <row r="112" spans="1:18" x14ac:dyDescent="0.2">
      <c r="A112" t="s">
        <v>512</v>
      </c>
      <c r="B112" s="460">
        <v>113</v>
      </c>
      <c r="C112" s="460" t="s">
        <v>378</v>
      </c>
      <c r="D112" s="460" t="s">
        <v>513</v>
      </c>
      <c r="E112" t="s">
        <v>256</v>
      </c>
      <c r="F112" s="516">
        <v>78</v>
      </c>
      <c r="G112" s="516">
        <v>60</v>
      </c>
      <c r="H112" s="516">
        <v>72</v>
      </c>
      <c r="I112" s="516">
        <v>67.400000000000006</v>
      </c>
      <c r="J112" s="516">
        <v>65</v>
      </c>
      <c r="K112" s="516">
        <v>81</v>
      </c>
      <c r="L112" s="516">
        <v>85.6</v>
      </c>
      <c r="M112" s="516">
        <v>75.3</v>
      </c>
      <c r="N112" s="516">
        <v>62.2</v>
      </c>
      <c r="O112" s="516">
        <v>61.2</v>
      </c>
      <c r="P112" s="516">
        <v>72.2</v>
      </c>
      <c r="Q112" s="516">
        <v>87</v>
      </c>
      <c r="R112" s="138">
        <v>867.1</v>
      </c>
    </row>
    <row r="113" spans="1:18" x14ac:dyDescent="0.2">
      <c r="A113" t="s">
        <v>514</v>
      </c>
      <c r="B113" s="460">
        <v>417</v>
      </c>
      <c r="C113" s="460" t="s">
        <v>286</v>
      </c>
      <c r="D113" s="460" t="s">
        <v>381</v>
      </c>
      <c r="E113" t="s">
        <v>256</v>
      </c>
      <c r="F113" s="516">
        <v>99</v>
      </c>
      <c r="G113" s="516">
        <v>64.599999999999994</v>
      </c>
      <c r="H113" s="516">
        <v>78.2</v>
      </c>
      <c r="I113" s="516">
        <v>57.5</v>
      </c>
      <c r="J113" s="516">
        <v>67.3</v>
      </c>
      <c r="K113" s="516">
        <v>73.2</v>
      </c>
      <c r="L113" s="516">
        <v>67.2</v>
      </c>
      <c r="M113" s="516">
        <v>68.3</v>
      </c>
      <c r="N113" s="516">
        <v>63.2</v>
      </c>
      <c r="O113" s="516">
        <v>68.599999999999994</v>
      </c>
      <c r="P113" s="516">
        <v>95.6</v>
      </c>
      <c r="Q113" s="516">
        <v>102</v>
      </c>
      <c r="R113" s="138">
        <v>904.8</v>
      </c>
    </row>
    <row r="114" spans="1:18" x14ac:dyDescent="0.2">
      <c r="A114" t="s">
        <v>515</v>
      </c>
      <c r="B114" s="460">
        <v>40</v>
      </c>
      <c r="C114" s="460" t="s">
        <v>422</v>
      </c>
      <c r="D114" s="460" t="s">
        <v>349</v>
      </c>
      <c r="E114" t="s">
        <v>256</v>
      </c>
      <c r="F114" s="516">
        <v>65.400000000000006</v>
      </c>
      <c r="G114" s="516">
        <v>49.5</v>
      </c>
      <c r="H114" s="516">
        <v>63.6</v>
      </c>
      <c r="I114" s="516">
        <v>52.9</v>
      </c>
      <c r="J114" s="516">
        <v>62.8</v>
      </c>
      <c r="K114" s="516">
        <v>79.5</v>
      </c>
      <c r="L114" s="516">
        <v>70.5</v>
      </c>
      <c r="M114" s="516">
        <v>63.5</v>
      </c>
      <c r="N114" s="516">
        <v>67</v>
      </c>
      <c r="O114" s="516">
        <v>55.1</v>
      </c>
      <c r="P114" s="516">
        <v>72.400000000000006</v>
      </c>
      <c r="Q114" s="516">
        <v>81</v>
      </c>
      <c r="R114" s="138">
        <v>783.1</v>
      </c>
    </row>
    <row r="115" spans="1:18" x14ac:dyDescent="0.2">
      <c r="A115" t="s">
        <v>516</v>
      </c>
      <c r="B115" s="460">
        <v>96</v>
      </c>
      <c r="C115" s="460" t="s">
        <v>517</v>
      </c>
      <c r="D115" s="460" t="s">
        <v>268</v>
      </c>
      <c r="E115" t="s">
        <v>256</v>
      </c>
      <c r="F115" s="516">
        <v>61.6</v>
      </c>
      <c r="G115" s="516">
        <v>50.3</v>
      </c>
      <c r="H115" s="516">
        <v>60.7</v>
      </c>
      <c r="I115" s="516">
        <v>59.7</v>
      </c>
      <c r="J115" s="516">
        <v>68</v>
      </c>
      <c r="K115" s="516">
        <v>79.900000000000006</v>
      </c>
      <c r="L115" s="516">
        <v>79.5</v>
      </c>
      <c r="M115" s="516">
        <v>70</v>
      </c>
      <c r="N115" s="516">
        <v>62.6</v>
      </c>
      <c r="O115" s="516">
        <v>54.1</v>
      </c>
      <c r="P115" s="516">
        <v>69.099999999999994</v>
      </c>
      <c r="Q115" s="516">
        <v>74.8</v>
      </c>
      <c r="R115" s="138">
        <v>790.2</v>
      </c>
    </row>
    <row r="116" spans="1:18" x14ac:dyDescent="0.2">
      <c r="A116" t="s">
        <v>518</v>
      </c>
      <c r="B116" s="460">
        <v>21</v>
      </c>
      <c r="C116" s="460" t="s">
        <v>419</v>
      </c>
      <c r="D116" s="460" t="s">
        <v>519</v>
      </c>
      <c r="E116" t="s">
        <v>256</v>
      </c>
      <c r="F116" s="516">
        <v>65.8</v>
      </c>
      <c r="G116" s="516">
        <v>47.2</v>
      </c>
      <c r="H116" s="516">
        <v>61.9</v>
      </c>
      <c r="I116" s="516">
        <v>49</v>
      </c>
      <c r="J116" s="516">
        <v>59.5</v>
      </c>
      <c r="K116" s="516">
        <v>75.099999999999994</v>
      </c>
      <c r="L116" s="516">
        <v>70.3</v>
      </c>
      <c r="M116" s="516">
        <v>67.5</v>
      </c>
      <c r="N116" s="516">
        <v>63.6</v>
      </c>
      <c r="O116" s="516">
        <v>58.4</v>
      </c>
      <c r="P116" s="516">
        <v>67.7</v>
      </c>
      <c r="Q116" s="516">
        <v>73.8</v>
      </c>
      <c r="R116" s="138">
        <v>759.8</v>
      </c>
    </row>
    <row r="117" spans="1:18" x14ac:dyDescent="0.2">
      <c r="A117" t="s">
        <v>520</v>
      </c>
      <c r="B117" s="460">
        <v>20</v>
      </c>
      <c r="C117" s="460" t="s">
        <v>422</v>
      </c>
      <c r="D117" s="460" t="s">
        <v>521</v>
      </c>
      <c r="E117" t="s">
        <v>256</v>
      </c>
      <c r="F117" s="516">
        <v>62.9</v>
      </c>
      <c r="G117" s="516">
        <v>47.5</v>
      </c>
      <c r="H117" s="516">
        <v>62.7</v>
      </c>
      <c r="I117" s="516">
        <v>49.8</v>
      </c>
      <c r="J117" s="516">
        <v>63.6</v>
      </c>
      <c r="K117" s="516">
        <v>73.7</v>
      </c>
      <c r="L117" s="516">
        <v>70.2</v>
      </c>
      <c r="M117" s="516">
        <v>65.2</v>
      </c>
      <c r="N117" s="516">
        <v>62.9</v>
      </c>
      <c r="O117" s="516">
        <v>54.5</v>
      </c>
      <c r="P117" s="516">
        <v>68.599999999999994</v>
      </c>
      <c r="Q117" s="516">
        <v>74.8</v>
      </c>
      <c r="R117" s="138">
        <v>756.2</v>
      </c>
    </row>
    <row r="118" spans="1:18" x14ac:dyDescent="0.2">
      <c r="A118" t="s">
        <v>522</v>
      </c>
      <c r="B118" s="460">
        <v>65</v>
      </c>
      <c r="C118" s="460" t="s">
        <v>396</v>
      </c>
      <c r="D118" s="460" t="s">
        <v>523</v>
      </c>
      <c r="E118" t="s">
        <v>256</v>
      </c>
      <c r="F118" s="516">
        <v>58.1</v>
      </c>
      <c r="G118" s="516">
        <v>41.7</v>
      </c>
      <c r="H118" s="516">
        <v>56.4</v>
      </c>
      <c r="I118" s="516">
        <v>53.9</v>
      </c>
      <c r="J118" s="516">
        <v>64.7</v>
      </c>
      <c r="K118" s="516">
        <v>67.400000000000006</v>
      </c>
      <c r="L118" s="516">
        <v>68.900000000000006</v>
      </c>
      <c r="M118" s="516">
        <v>59.2</v>
      </c>
      <c r="N118" s="516">
        <v>58.2</v>
      </c>
      <c r="O118" s="516">
        <v>48.1</v>
      </c>
      <c r="P118" s="516">
        <v>59.1</v>
      </c>
      <c r="Q118" s="516">
        <v>68.8</v>
      </c>
      <c r="R118" s="138">
        <v>704.7</v>
      </c>
    </row>
    <row r="119" spans="1:18" x14ac:dyDescent="0.2">
      <c r="A119" t="s">
        <v>524</v>
      </c>
      <c r="B119" s="460">
        <v>100</v>
      </c>
      <c r="C119" s="460" t="s">
        <v>376</v>
      </c>
      <c r="D119" s="460" t="s">
        <v>525</v>
      </c>
      <c r="E119" t="s">
        <v>256</v>
      </c>
      <c r="F119" s="516">
        <v>73</v>
      </c>
      <c r="G119" s="516">
        <v>54.2</v>
      </c>
      <c r="H119" s="516">
        <v>68.2</v>
      </c>
      <c r="I119" s="516">
        <v>61.8</v>
      </c>
      <c r="J119" s="516">
        <v>70.2</v>
      </c>
      <c r="K119" s="516">
        <v>91.9</v>
      </c>
      <c r="L119" s="516">
        <v>80.2</v>
      </c>
      <c r="M119" s="516">
        <v>67.099999999999994</v>
      </c>
      <c r="N119" s="516">
        <v>64.599999999999994</v>
      </c>
      <c r="O119" s="516">
        <v>61.4</v>
      </c>
      <c r="P119" s="516">
        <v>72.099999999999994</v>
      </c>
      <c r="Q119" s="516">
        <v>85.7</v>
      </c>
      <c r="R119" s="138">
        <v>850.4</v>
      </c>
    </row>
    <row r="120" spans="1:18" x14ac:dyDescent="0.2">
      <c r="A120" t="s">
        <v>526</v>
      </c>
      <c r="B120" s="460">
        <v>403</v>
      </c>
      <c r="C120" s="460" t="s">
        <v>376</v>
      </c>
      <c r="D120" s="460" t="s">
        <v>527</v>
      </c>
      <c r="E120" t="s">
        <v>256</v>
      </c>
      <c r="F120" s="516">
        <v>58.4</v>
      </c>
      <c r="G120" s="516">
        <v>43.8</v>
      </c>
      <c r="H120" s="516">
        <v>56.6</v>
      </c>
      <c r="I120" s="516">
        <v>58.7</v>
      </c>
      <c r="J120" s="516">
        <v>65.400000000000006</v>
      </c>
      <c r="K120" s="516">
        <v>70.599999999999994</v>
      </c>
      <c r="L120" s="516">
        <v>82.5</v>
      </c>
      <c r="M120" s="516">
        <v>53.7</v>
      </c>
      <c r="N120" s="516">
        <v>57</v>
      </c>
      <c r="O120" s="516">
        <v>56.5</v>
      </c>
      <c r="P120" s="516">
        <v>68.099999999999994</v>
      </c>
      <c r="Q120" s="516">
        <v>73.099999999999994</v>
      </c>
      <c r="R120" s="138">
        <v>744.4</v>
      </c>
    </row>
    <row r="121" spans="1:18" x14ac:dyDescent="0.2">
      <c r="A121" t="s">
        <v>528</v>
      </c>
      <c r="B121" s="460">
        <v>127</v>
      </c>
      <c r="C121" s="460" t="s">
        <v>373</v>
      </c>
      <c r="D121" s="460" t="s">
        <v>470</v>
      </c>
      <c r="E121" t="s">
        <v>256</v>
      </c>
      <c r="F121" s="516">
        <v>81.099999999999994</v>
      </c>
      <c r="G121" s="516">
        <v>58.9</v>
      </c>
      <c r="H121" s="516">
        <v>80.599999999999994</v>
      </c>
      <c r="I121" s="516">
        <v>66.400000000000006</v>
      </c>
      <c r="J121" s="516">
        <v>71.2</v>
      </c>
      <c r="K121" s="516">
        <v>101.9</v>
      </c>
      <c r="L121" s="516">
        <v>90</v>
      </c>
      <c r="M121" s="516">
        <v>79.5</v>
      </c>
      <c r="N121" s="516">
        <v>68.3</v>
      </c>
      <c r="O121" s="516">
        <v>67.099999999999994</v>
      </c>
      <c r="P121" s="516">
        <v>83.1</v>
      </c>
      <c r="Q121" s="516">
        <v>95.4</v>
      </c>
      <c r="R121" s="138">
        <v>943.5</v>
      </c>
    </row>
    <row r="122" spans="1:18" x14ac:dyDescent="0.2">
      <c r="A122" t="s">
        <v>529</v>
      </c>
      <c r="B122" s="460">
        <v>136</v>
      </c>
      <c r="C122" s="460" t="s">
        <v>530</v>
      </c>
      <c r="D122" s="460" t="s">
        <v>411</v>
      </c>
      <c r="E122" t="s">
        <v>256</v>
      </c>
      <c r="F122" s="516">
        <v>87.9</v>
      </c>
      <c r="G122" s="516">
        <v>63.9</v>
      </c>
      <c r="H122" s="516">
        <v>81.599999999999994</v>
      </c>
      <c r="I122" s="516">
        <v>71.7</v>
      </c>
      <c r="J122" s="516">
        <v>76.3</v>
      </c>
      <c r="K122" s="516">
        <v>100.3</v>
      </c>
      <c r="L122" s="516">
        <v>88.3</v>
      </c>
      <c r="M122" s="516">
        <v>77.5</v>
      </c>
      <c r="N122" s="516">
        <v>77.2</v>
      </c>
      <c r="O122" s="516">
        <v>73.8</v>
      </c>
      <c r="P122" s="516">
        <v>87.8</v>
      </c>
      <c r="Q122" s="516">
        <v>98.5</v>
      </c>
      <c r="R122" s="138">
        <v>984.6</v>
      </c>
    </row>
    <row r="123" spans="1:18" x14ac:dyDescent="0.2">
      <c r="A123" t="s">
        <v>531</v>
      </c>
      <c r="B123" s="460">
        <v>380</v>
      </c>
      <c r="C123" s="460" t="s">
        <v>532</v>
      </c>
      <c r="D123" s="460" t="s">
        <v>343</v>
      </c>
      <c r="E123" t="s">
        <v>256</v>
      </c>
      <c r="F123" s="516">
        <v>60.2</v>
      </c>
      <c r="G123" s="516">
        <v>57.6</v>
      </c>
      <c r="H123" s="516">
        <v>62</v>
      </c>
      <c r="I123" s="516">
        <v>63.5</v>
      </c>
      <c r="J123" s="516">
        <v>69</v>
      </c>
      <c r="K123" s="516">
        <v>71</v>
      </c>
      <c r="L123" s="516">
        <v>78.8</v>
      </c>
      <c r="M123" s="516">
        <v>68.099999999999994</v>
      </c>
      <c r="N123" s="516">
        <v>51.7</v>
      </c>
      <c r="O123" s="516">
        <v>55.7</v>
      </c>
      <c r="P123" s="516">
        <v>69.599999999999994</v>
      </c>
      <c r="Q123" s="516">
        <v>70.8</v>
      </c>
      <c r="R123" s="138">
        <v>778.1</v>
      </c>
    </row>
    <row r="124" spans="1:18" x14ac:dyDescent="0.2">
      <c r="A124" t="s">
        <v>533</v>
      </c>
      <c r="B124" s="460">
        <v>274</v>
      </c>
      <c r="C124" s="460" t="s">
        <v>534</v>
      </c>
      <c r="D124" s="460" t="s">
        <v>535</v>
      </c>
      <c r="E124" t="s">
        <v>256</v>
      </c>
      <c r="F124" s="516">
        <v>62.3</v>
      </c>
      <c r="G124" s="516">
        <v>59.4</v>
      </c>
      <c r="H124" s="516">
        <v>64.5</v>
      </c>
      <c r="I124" s="516">
        <v>61.2</v>
      </c>
      <c r="J124" s="516">
        <v>60.5</v>
      </c>
      <c r="K124" s="516">
        <v>72.599999999999994</v>
      </c>
      <c r="L124" s="516">
        <v>71.7</v>
      </c>
      <c r="M124" s="516">
        <v>67</v>
      </c>
      <c r="N124" s="516">
        <v>49.6</v>
      </c>
      <c r="O124" s="516">
        <v>53.7</v>
      </c>
      <c r="P124" s="516">
        <v>75.400000000000006</v>
      </c>
      <c r="Q124" s="516">
        <v>73.2</v>
      </c>
      <c r="R124" s="138">
        <v>771.2</v>
      </c>
    </row>
    <row r="125" spans="1:18" x14ac:dyDescent="0.2">
      <c r="A125" t="s">
        <v>536</v>
      </c>
      <c r="B125" s="460">
        <v>57</v>
      </c>
      <c r="C125" s="460" t="s">
        <v>305</v>
      </c>
      <c r="D125" s="460" t="s">
        <v>255</v>
      </c>
      <c r="E125" t="s">
        <v>256</v>
      </c>
      <c r="F125" s="516">
        <v>56.3</v>
      </c>
      <c r="G125" s="516">
        <v>45.2</v>
      </c>
      <c r="H125" s="516">
        <v>62.5</v>
      </c>
      <c r="I125" s="516">
        <v>46.8</v>
      </c>
      <c r="J125" s="516">
        <v>64.2</v>
      </c>
      <c r="K125" s="516">
        <v>76.400000000000006</v>
      </c>
      <c r="L125" s="516">
        <v>70.2</v>
      </c>
      <c r="M125" s="516">
        <v>59.7</v>
      </c>
      <c r="N125" s="516">
        <v>55.3</v>
      </c>
      <c r="O125" s="516">
        <v>55.6</v>
      </c>
      <c r="P125" s="516">
        <v>67</v>
      </c>
      <c r="Q125" s="516">
        <v>65.3</v>
      </c>
      <c r="R125" s="138">
        <v>724.5</v>
      </c>
    </row>
    <row r="126" spans="1:18" x14ac:dyDescent="0.2">
      <c r="A126" t="s">
        <v>537</v>
      </c>
      <c r="B126" s="460">
        <v>600</v>
      </c>
      <c r="C126" s="460" t="s">
        <v>538</v>
      </c>
      <c r="D126" s="460" t="s">
        <v>539</v>
      </c>
      <c r="E126" t="s">
        <v>256</v>
      </c>
      <c r="F126" s="516">
        <v>88.2</v>
      </c>
      <c r="G126" s="516">
        <v>74.599999999999994</v>
      </c>
      <c r="H126" s="516">
        <v>77.900000000000006</v>
      </c>
      <c r="I126" s="516">
        <v>75.2</v>
      </c>
      <c r="J126" s="516">
        <v>80.3</v>
      </c>
      <c r="K126" s="516">
        <v>78.099999999999994</v>
      </c>
      <c r="L126" s="516">
        <v>82.9</v>
      </c>
      <c r="M126" s="516">
        <v>73.900000000000006</v>
      </c>
      <c r="N126" s="516">
        <v>71</v>
      </c>
      <c r="O126" s="516">
        <v>75.900000000000006</v>
      </c>
      <c r="P126" s="516">
        <v>96.7</v>
      </c>
      <c r="Q126" s="516">
        <v>105.4</v>
      </c>
      <c r="R126" s="138">
        <v>980</v>
      </c>
    </row>
    <row r="127" spans="1:18" x14ac:dyDescent="0.2">
      <c r="A127" t="s">
        <v>540</v>
      </c>
      <c r="B127" s="460">
        <v>650</v>
      </c>
      <c r="C127" s="460" t="s">
        <v>402</v>
      </c>
      <c r="D127" s="460" t="s">
        <v>541</v>
      </c>
      <c r="E127" t="s">
        <v>256</v>
      </c>
      <c r="F127" s="516">
        <v>112.1</v>
      </c>
      <c r="G127" s="516">
        <v>86.9</v>
      </c>
      <c r="H127" s="516">
        <v>100.7</v>
      </c>
      <c r="I127" s="516">
        <v>80</v>
      </c>
      <c r="J127" s="516">
        <v>83.1</v>
      </c>
      <c r="K127" s="516">
        <v>89</v>
      </c>
      <c r="L127" s="516">
        <v>98.5</v>
      </c>
      <c r="M127" s="516">
        <v>81.400000000000006</v>
      </c>
      <c r="N127" s="516">
        <v>82.8</v>
      </c>
      <c r="O127" s="516">
        <v>88.5</v>
      </c>
      <c r="P127" s="516">
        <v>114.4</v>
      </c>
      <c r="Q127" s="516">
        <v>128.4</v>
      </c>
      <c r="R127" s="138">
        <v>1145.8</v>
      </c>
    </row>
    <row r="128" spans="1:18" x14ac:dyDescent="0.2">
      <c r="A128" t="s">
        <v>542</v>
      </c>
      <c r="B128" s="460">
        <v>350</v>
      </c>
      <c r="C128" s="460" t="s">
        <v>530</v>
      </c>
      <c r="D128" s="460" t="s">
        <v>543</v>
      </c>
      <c r="E128" t="s">
        <v>256</v>
      </c>
      <c r="F128" s="516">
        <v>99.2</v>
      </c>
      <c r="G128" s="516">
        <v>74.7</v>
      </c>
      <c r="H128" s="516">
        <v>93.1</v>
      </c>
      <c r="I128" s="516">
        <v>84.3</v>
      </c>
      <c r="J128" s="516">
        <v>85.9</v>
      </c>
      <c r="K128" s="516">
        <v>106.4</v>
      </c>
      <c r="L128" s="516">
        <v>108.7</v>
      </c>
      <c r="M128" s="516">
        <v>86.7</v>
      </c>
      <c r="N128" s="516">
        <v>78.2</v>
      </c>
      <c r="O128" s="516">
        <v>78.599999999999994</v>
      </c>
      <c r="P128" s="516">
        <v>95.6</v>
      </c>
      <c r="Q128" s="516">
        <v>107.1</v>
      </c>
      <c r="R128" s="138">
        <v>1098.4000000000001</v>
      </c>
    </row>
    <row r="129" spans="1:18" x14ac:dyDescent="0.2">
      <c r="A129" t="s">
        <v>544</v>
      </c>
      <c r="B129" s="460">
        <v>79</v>
      </c>
      <c r="C129" s="460" t="s">
        <v>455</v>
      </c>
      <c r="D129" s="460" t="s">
        <v>545</v>
      </c>
      <c r="E129" t="s">
        <v>256</v>
      </c>
      <c r="F129" s="516">
        <v>63.1</v>
      </c>
      <c r="G129" s="516">
        <v>50.1</v>
      </c>
      <c r="H129" s="516">
        <v>64</v>
      </c>
      <c r="I129" s="516">
        <v>57.3</v>
      </c>
      <c r="J129" s="516">
        <v>71.400000000000006</v>
      </c>
      <c r="K129" s="516">
        <v>88.9</v>
      </c>
      <c r="L129" s="516">
        <v>89.4</v>
      </c>
      <c r="M129" s="516">
        <v>75.099999999999994</v>
      </c>
      <c r="N129" s="516">
        <v>66</v>
      </c>
      <c r="O129" s="516">
        <v>59.8</v>
      </c>
      <c r="P129" s="516">
        <v>67.5</v>
      </c>
      <c r="Q129" s="516">
        <v>74.3</v>
      </c>
      <c r="R129" s="138">
        <v>827</v>
      </c>
    </row>
    <row r="130" spans="1:18" x14ac:dyDescent="0.2">
      <c r="A130" t="s">
        <v>546</v>
      </c>
      <c r="B130" s="460">
        <v>175</v>
      </c>
      <c r="C130" s="460" t="s">
        <v>261</v>
      </c>
      <c r="D130" s="460" t="s">
        <v>547</v>
      </c>
      <c r="E130" t="s">
        <v>256</v>
      </c>
      <c r="F130" s="516">
        <v>67.2</v>
      </c>
      <c r="G130" s="516">
        <v>49.4</v>
      </c>
      <c r="H130" s="516">
        <v>65.3</v>
      </c>
      <c r="I130" s="516">
        <v>56.3</v>
      </c>
      <c r="J130" s="516">
        <v>71.2</v>
      </c>
      <c r="K130" s="516">
        <v>90</v>
      </c>
      <c r="L130" s="516">
        <v>95.1</v>
      </c>
      <c r="M130" s="516">
        <v>80.7</v>
      </c>
      <c r="N130" s="516">
        <v>65.8</v>
      </c>
      <c r="O130" s="516">
        <v>63</v>
      </c>
      <c r="P130" s="516">
        <v>71.8</v>
      </c>
      <c r="Q130" s="516">
        <v>76.3</v>
      </c>
      <c r="R130" s="138">
        <v>852</v>
      </c>
    </row>
    <row r="131" spans="1:18" x14ac:dyDescent="0.2">
      <c r="A131" t="s">
        <v>548</v>
      </c>
      <c r="B131" s="460">
        <v>77</v>
      </c>
      <c r="C131" s="460" t="s">
        <v>549</v>
      </c>
      <c r="D131" s="460" t="s">
        <v>550</v>
      </c>
      <c r="E131" t="s">
        <v>256</v>
      </c>
      <c r="F131" s="516">
        <v>69.7</v>
      </c>
      <c r="G131" s="516">
        <v>54.7</v>
      </c>
      <c r="H131" s="516">
        <v>63.6</v>
      </c>
      <c r="I131" s="516">
        <v>58</v>
      </c>
      <c r="J131" s="516">
        <v>72.599999999999994</v>
      </c>
      <c r="K131" s="516">
        <v>83</v>
      </c>
      <c r="L131" s="516">
        <v>74.3</v>
      </c>
      <c r="M131" s="516">
        <v>71.599999999999994</v>
      </c>
      <c r="N131" s="516">
        <v>67.5</v>
      </c>
      <c r="O131" s="516">
        <v>54.7</v>
      </c>
      <c r="P131" s="516">
        <v>67.8</v>
      </c>
      <c r="Q131" s="516">
        <v>80</v>
      </c>
      <c r="R131" s="138">
        <v>817.6</v>
      </c>
    </row>
    <row r="132" spans="1:18" x14ac:dyDescent="0.2">
      <c r="A132" t="s">
        <v>551</v>
      </c>
      <c r="B132" s="460">
        <v>63</v>
      </c>
      <c r="C132" s="460" t="s">
        <v>390</v>
      </c>
      <c r="D132" s="460" t="s">
        <v>552</v>
      </c>
      <c r="E132" t="s">
        <v>256</v>
      </c>
      <c r="F132" s="516">
        <v>69.3</v>
      </c>
      <c r="G132" s="516">
        <v>52.5</v>
      </c>
      <c r="H132" s="516">
        <v>66.7</v>
      </c>
      <c r="I132" s="516">
        <v>59.1</v>
      </c>
      <c r="J132" s="516">
        <v>66.8</v>
      </c>
      <c r="K132" s="516">
        <v>88.1</v>
      </c>
      <c r="L132" s="516">
        <v>85.1</v>
      </c>
      <c r="M132" s="516">
        <v>68</v>
      </c>
      <c r="N132" s="516">
        <v>69.2</v>
      </c>
      <c r="O132" s="516">
        <v>58.5</v>
      </c>
      <c r="P132" s="516">
        <v>74.599999999999994</v>
      </c>
      <c r="Q132" s="516">
        <v>80.599999999999994</v>
      </c>
      <c r="R132" s="138">
        <v>838.5</v>
      </c>
    </row>
    <row r="133" spans="1:18" x14ac:dyDescent="0.2">
      <c r="A133" t="s">
        <v>553</v>
      </c>
      <c r="B133" s="460">
        <v>410</v>
      </c>
      <c r="C133" s="460" t="s">
        <v>477</v>
      </c>
      <c r="D133" s="460" t="s">
        <v>543</v>
      </c>
      <c r="E133" t="s">
        <v>256</v>
      </c>
      <c r="F133" s="516">
        <v>136.80000000000001</v>
      </c>
      <c r="G133" s="516">
        <v>100.1</v>
      </c>
      <c r="H133" s="516">
        <v>119.7</v>
      </c>
      <c r="I133" s="516">
        <v>97.4</v>
      </c>
      <c r="J133" s="516">
        <v>90.3</v>
      </c>
      <c r="K133" s="516">
        <v>109</v>
      </c>
      <c r="L133" s="516">
        <v>115.3</v>
      </c>
      <c r="M133" s="516">
        <v>89.2</v>
      </c>
      <c r="N133" s="516">
        <v>99.2</v>
      </c>
      <c r="O133" s="516">
        <v>96.8</v>
      </c>
      <c r="P133" s="516">
        <v>133.9</v>
      </c>
      <c r="Q133" s="516">
        <v>148.69999999999999</v>
      </c>
      <c r="R133" s="138">
        <v>1336.5</v>
      </c>
    </row>
    <row r="134" spans="1:18" x14ac:dyDescent="0.2">
      <c r="A134" t="s">
        <v>554</v>
      </c>
      <c r="B134" s="460">
        <v>60</v>
      </c>
      <c r="C134" s="460" t="s">
        <v>489</v>
      </c>
      <c r="D134" s="460" t="s">
        <v>397</v>
      </c>
      <c r="E134" t="s">
        <v>256</v>
      </c>
      <c r="F134" s="516">
        <v>80.599999999999994</v>
      </c>
      <c r="G134" s="516">
        <v>57.3</v>
      </c>
      <c r="H134" s="516">
        <v>72.7</v>
      </c>
      <c r="I134" s="516">
        <v>63.8</v>
      </c>
      <c r="J134" s="516">
        <v>75.7</v>
      </c>
      <c r="K134" s="516">
        <v>91.8</v>
      </c>
      <c r="L134" s="516">
        <v>92.6</v>
      </c>
      <c r="M134" s="516">
        <v>72.3</v>
      </c>
      <c r="N134" s="516">
        <v>80</v>
      </c>
      <c r="O134" s="516">
        <v>65.3</v>
      </c>
      <c r="P134" s="516">
        <v>83.8</v>
      </c>
      <c r="Q134" s="516">
        <v>92.6</v>
      </c>
      <c r="R134" s="138">
        <v>928.5</v>
      </c>
    </row>
    <row r="135" spans="1:18" x14ac:dyDescent="0.2">
      <c r="A135" t="s">
        <v>555</v>
      </c>
      <c r="B135" s="460">
        <v>163</v>
      </c>
      <c r="C135" s="460" t="s">
        <v>556</v>
      </c>
      <c r="D135" s="460" t="s">
        <v>557</v>
      </c>
      <c r="E135" t="s">
        <v>256</v>
      </c>
      <c r="F135" s="516">
        <v>61.9</v>
      </c>
      <c r="G135" s="516">
        <v>54.9</v>
      </c>
      <c r="H135" s="516">
        <v>64.099999999999994</v>
      </c>
      <c r="I135" s="516">
        <v>58.9</v>
      </c>
      <c r="J135" s="516">
        <v>74.7</v>
      </c>
      <c r="K135" s="516">
        <v>71.5</v>
      </c>
      <c r="L135" s="516">
        <v>69.5</v>
      </c>
      <c r="M135" s="516">
        <v>58.9</v>
      </c>
      <c r="N135" s="516">
        <v>55.6</v>
      </c>
      <c r="O135" s="516">
        <v>54.6</v>
      </c>
      <c r="P135" s="516">
        <v>66.7</v>
      </c>
      <c r="Q135" s="516">
        <v>69.099999999999994</v>
      </c>
      <c r="R135" s="138">
        <v>760.4</v>
      </c>
    </row>
    <row r="136" spans="1:18" x14ac:dyDescent="0.2">
      <c r="A136" t="s">
        <v>558</v>
      </c>
      <c r="B136" s="460">
        <v>90</v>
      </c>
      <c r="C136" s="460" t="s">
        <v>446</v>
      </c>
      <c r="D136" s="460" t="s">
        <v>328</v>
      </c>
      <c r="E136" t="s">
        <v>256</v>
      </c>
      <c r="F136" s="516">
        <v>63.5</v>
      </c>
      <c r="G136" s="516">
        <v>48.7</v>
      </c>
      <c r="H136" s="516">
        <v>58.9</v>
      </c>
      <c r="I136" s="516">
        <v>53.4</v>
      </c>
      <c r="J136" s="516">
        <v>68.900000000000006</v>
      </c>
      <c r="K136" s="516">
        <v>77.8</v>
      </c>
      <c r="L136" s="516">
        <v>67.599999999999994</v>
      </c>
      <c r="M136" s="516">
        <v>68</v>
      </c>
      <c r="N136" s="516">
        <v>62.6</v>
      </c>
      <c r="O136" s="516">
        <v>51.5</v>
      </c>
      <c r="P136" s="516">
        <v>63.7</v>
      </c>
      <c r="Q136" s="516">
        <v>71.8</v>
      </c>
      <c r="R136" s="138">
        <v>756.4</v>
      </c>
    </row>
    <row r="137" spans="1:18" x14ac:dyDescent="0.2">
      <c r="A137" t="s">
        <v>559</v>
      </c>
      <c r="B137" s="460">
        <v>66</v>
      </c>
      <c r="C137" s="460" t="s">
        <v>560</v>
      </c>
      <c r="D137" s="460" t="s">
        <v>561</v>
      </c>
      <c r="E137" t="s">
        <v>256</v>
      </c>
      <c r="F137" s="516">
        <v>72.2</v>
      </c>
      <c r="G137" s="516">
        <v>51.5</v>
      </c>
      <c r="H137" s="516">
        <v>70.099999999999994</v>
      </c>
      <c r="I137" s="516">
        <v>59.5</v>
      </c>
      <c r="J137" s="516">
        <v>71.8</v>
      </c>
      <c r="K137" s="516">
        <v>90.1</v>
      </c>
      <c r="L137" s="516">
        <v>86.2</v>
      </c>
      <c r="M137" s="516">
        <v>74</v>
      </c>
      <c r="N137" s="516">
        <v>63.3</v>
      </c>
      <c r="O137" s="516">
        <v>63.3</v>
      </c>
      <c r="P137" s="516">
        <v>75.900000000000006</v>
      </c>
      <c r="Q137" s="516">
        <v>81.8</v>
      </c>
      <c r="R137" s="138">
        <v>859.7</v>
      </c>
    </row>
    <row r="138" spans="1:18" x14ac:dyDescent="0.2">
      <c r="A138" t="s">
        <v>562</v>
      </c>
      <c r="B138" s="460">
        <v>46</v>
      </c>
      <c r="C138" s="460" t="s">
        <v>563</v>
      </c>
      <c r="D138" s="460" t="s">
        <v>564</v>
      </c>
      <c r="E138" t="s">
        <v>256</v>
      </c>
      <c r="F138" s="516">
        <v>66.2</v>
      </c>
      <c r="G138" s="516">
        <v>47.4</v>
      </c>
      <c r="H138" s="516">
        <v>58</v>
      </c>
      <c r="I138" s="516">
        <v>49.5</v>
      </c>
      <c r="J138" s="516">
        <v>63.6</v>
      </c>
      <c r="K138" s="516">
        <v>68.5</v>
      </c>
      <c r="L138" s="516">
        <v>72.099999999999994</v>
      </c>
      <c r="M138" s="516">
        <v>67.400000000000006</v>
      </c>
      <c r="N138" s="516">
        <v>59.1</v>
      </c>
      <c r="O138" s="516">
        <v>57</v>
      </c>
      <c r="P138" s="516">
        <v>70.3</v>
      </c>
      <c r="Q138" s="516">
        <v>73.8</v>
      </c>
      <c r="R138" s="138">
        <v>753</v>
      </c>
    </row>
    <row r="139" spans="1:18" x14ac:dyDescent="0.2">
      <c r="A139" t="s">
        <v>565</v>
      </c>
      <c r="B139" s="460">
        <v>93</v>
      </c>
      <c r="C139" s="460" t="s">
        <v>267</v>
      </c>
      <c r="D139" s="460" t="s">
        <v>566</v>
      </c>
      <c r="E139" t="s">
        <v>256</v>
      </c>
      <c r="F139" s="516">
        <v>69.8</v>
      </c>
      <c r="G139" s="516">
        <v>50.7</v>
      </c>
      <c r="H139" s="516">
        <v>61.4</v>
      </c>
      <c r="I139" s="516">
        <v>57</v>
      </c>
      <c r="J139" s="516">
        <v>73.900000000000006</v>
      </c>
      <c r="K139" s="516">
        <v>80</v>
      </c>
      <c r="L139" s="516">
        <v>74.2</v>
      </c>
      <c r="M139" s="516">
        <v>75.8</v>
      </c>
      <c r="N139" s="516">
        <v>63</v>
      </c>
      <c r="O139" s="516">
        <v>50.9</v>
      </c>
      <c r="P139" s="516">
        <v>71.7</v>
      </c>
      <c r="Q139" s="516">
        <v>84.8</v>
      </c>
      <c r="R139" s="138">
        <v>813.4</v>
      </c>
    </row>
    <row r="140" spans="1:18" x14ac:dyDescent="0.2">
      <c r="A140" t="s">
        <v>567</v>
      </c>
      <c r="B140" s="460">
        <v>92</v>
      </c>
      <c r="C140" s="460" t="s">
        <v>342</v>
      </c>
      <c r="D140" s="460" t="s">
        <v>568</v>
      </c>
      <c r="E140" t="s">
        <v>256</v>
      </c>
      <c r="F140" s="516">
        <v>71</v>
      </c>
      <c r="G140" s="516">
        <v>51.5</v>
      </c>
      <c r="H140" s="516">
        <v>63.8</v>
      </c>
      <c r="I140" s="516">
        <v>57.7</v>
      </c>
      <c r="J140" s="516">
        <v>70</v>
      </c>
      <c r="K140" s="516">
        <v>77.3</v>
      </c>
      <c r="L140" s="516">
        <v>70.2</v>
      </c>
      <c r="M140" s="516">
        <v>72.599999999999994</v>
      </c>
      <c r="N140" s="516">
        <v>61.2</v>
      </c>
      <c r="O140" s="516">
        <v>52.3</v>
      </c>
      <c r="P140" s="516">
        <v>68.900000000000006</v>
      </c>
      <c r="Q140" s="516">
        <v>85.7</v>
      </c>
      <c r="R140" s="138">
        <v>802.3</v>
      </c>
    </row>
    <row r="141" spans="1:18" x14ac:dyDescent="0.2">
      <c r="A141" t="s">
        <v>569</v>
      </c>
      <c r="B141" s="460">
        <v>115</v>
      </c>
      <c r="C141" s="460" t="s">
        <v>378</v>
      </c>
      <c r="D141" s="460" t="s">
        <v>507</v>
      </c>
      <c r="E141" t="s">
        <v>256</v>
      </c>
      <c r="F141" s="516">
        <v>87.2</v>
      </c>
      <c r="G141" s="516">
        <v>60</v>
      </c>
      <c r="H141" s="516">
        <v>82.3</v>
      </c>
      <c r="I141" s="516">
        <v>68.2</v>
      </c>
      <c r="J141" s="516">
        <v>69.099999999999994</v>
      </c>
      <c r="K141" s="516">
        <v>94.2</v>
      </c>
      <c r="L141" s="516">
        <v>88</v>
      </c>
      <c r="M141" s="516">
        <v>65.099999999999994</v>
      </c>
      <c r="N141" s="516">
        <v>69.7</v>
      </c>
      <c r="O141" s="516">
        <v>68.599999999999994</v>
      </c>
      <c r="P141" s="516">
        <v>83</v>
      </c>
      <c r="Q141" s="516">
        <v>92.8</v>
      </c>
      <c r="R141" s="138">
        <v>928.1</v>
      </c>
    </row>
    <row r="142" spans="1:18" x14ac:dyDescent="0.2">
      <c r="A142" t="s">
        <v>570</v>
      </c>
      <c r="B142" s="460">
        <v>58</v>
      </c>
      <c r="C142" s="460" t="s">
        <v>571</v>
      </c>
      <c r="D142" s="460" t="s">
        <v>552</v>
      </c>
      <c r="E142" t="s">
        <v>256</v>
      </c>
      <c r="F142" s="516">
        <v>54.5</v>
      </c>
      <c r="G142" s="516">
        <v>43.6</v>
      </c>
      <c r="H142" s="516">
        <v>51.9</v>
      </c>
      <c r="I142" s="516">
        <v>53.5</v>
      </c>
      <c r="J142" s="516">
        <v>66.5</v>
      </c>
      <c r="K142" s="516">
        <v>78.900000000000006</v>
      </c>
      <c r="L142" s="516">
        <v>76.900000000000006</v>
      </c>
      <c r="M142" s="516">
        <v>66.3</v>
      </c>
      <c r="N142" s="516">
        <v>53.7</v>
      </c>
      <c r="O142" s="516">
        <v>50.9</v>
      </c>
      <c r="P142" s="516">
        <v>57.3</v>
      </c>
      <c r="Q142" s="516">
        <v>58.9</v>
      </c>
      <c r="R142" s="138">
        <v>712.9</v>
      </c>
    </row>
    <row r="143" spans="1:18" x14ac:dyDescent="0.2">
      <c r="A143" t="s">
        <v>572</v>
      </c>
      <c r="B143" s="460">
        <v>360</v>
      </c>
      <c r="C143" s="460" t="s">
        <v>342</v>
      </c>
      <c r="D143" s="460" t="s">
        <v>573</v>
      </c>
      <c r="E143" t="s">
        <v>256</v>
      </c>
      <c r="F143" s="516">
        <v>123.7</v>
      </c>
      <c r="G143" s="516">
        <v>84.5</v>
      </c>
      <c r="H143" s="516">
        <v>104.2</v>
      </c>
      <c r="I143" s="516">
        <v>91.3</v>
      </c>
      <c r="J143" s="516">
        <v>96.8</v>
      </c>
      <c r="K143" s="516">
        <v>110.4</v>
      </c>
      <c r="L143" s="516">
        <v>107.8</v>
      </c>
      <c r="M143" s="516">
        <v>98.6</v>
      </c>
      <c r="N143" s="516">
        <v>92.7</v>
      </c>
      <c r="O143" s="516">
        <v>88.3</v>
      </c>
      <c r="P143" s="516">
        <v>119</v>
      </c>
      <c r="Q143" s="516">
        <v>141.5</v>
      </c>
      <c r="R143" s="138">
        <v>1258.8</v>
      </c>
    </row>
    <row r="144" spans="1:18" x14ac:dyDescent="0.2">
      <c r="A144" t="s">
        <v>574</v>
      </c>
      <c r="B144" s="460">
        <v>258</v>
      </c>
      <c r="C144" s="460" t="s">
        <v>477</v>
      </c>
      <c r="D144" s="460" t="s">
        <v>575</v>
      </c>
      <c r="E144" t="s">
        <v>256</v>
      </c>
      <c r="F144" s="516">
        <v>135.80000000000001</v>
      </c>
      <c r="G144" s="516">
        <v>94.1</v>
      </c>
      <c r="H144" s="516">
        <v>117.3</v>
      </c>
      <c r="I144" s="516">
        <v>88.3</v>
      </c>
      <c r="J144" s="516">
        <v>84</v>
      </c>
      <c r="K144" s="516">
        <v>108.1</v>
      </c>
      <c r="L144" s="516">
        <v>117.1</v>
      </c>
      <c r="M144" s="516">
        <v>97.1</v>
      </c>
      <c r="N144" s="516">
        <v>107.4</v>
      </c>
      <c r="O144" s="516">
        <v>99.1</v>
      </c>
      <c r="P144" s="516">
        <v>131.9</v>
      </c>
      <c r="Q144" s="516">
        <v>151.30000000000001</v>
      </c>
      <c r="R144" s="138">
        <v>1331.5</v>
      </c>
    </row>
    <row r="145" spans="1:18" x14ac:dyDescent="0.2">
      <c r="A145" t="s">
        <v>576</v>
      </c>
      <c r="B145" s="460">
        <v>298</v>
      </c>
      <c r="C145" s="460" t="s">
        <v>577</v>
      </c>
      <c r="D145" s="460" t="s">
        <v>547</v>
      </c>
      <c r="E145" t="s">
        <v>256</v>
      </c>
      <c r="F145" s="516">
        <v>132.5</v>
      </c>
      <c r="G145" s="516">
        <v>92.6</v>
      </c>
      <c r="H145" s="516">
        <v>112.9</v>
      </c>
      <c r="I145" s="516">
        <v>86.3</v>
      </c>
      <c r="J145" s="516">
        <v>86.5</v>
      </c>
      <c r="K145" s="516">
        <v>104.8</v>
      </c>
      <c r="L145" s="516">
        <v>117</v>
      </c>
      <c r="M145" s="516">
        <v>91.9</v>
      </c>
      <c r="N145" s="516">
        <v>103.3</v>
      </c>
      <c r="O145" s="516">
        <v>101.6</v>
      </c>
      <c r="P145" s="516">
        <v>130</v>
      </c>
      <c r="Q145" s="516">
        <v>149</v>
      </c>
      <c r="R145" s="138">
        <v>1308.2</v>
      </c>
    </row>
    <row r="146" spans="1:18" x14ac:dyDescent="0.2">
      <c r="A146" t="s">
        <v>578</v>
      </c>
      <c r="B146" s="460">
        <v>68</v>
      </c>
      <c r="C146" s="460" t="s">
        <v>579</v>
      </c>
      <c r="D146" s="460" t="s">
        <v>580</v>
      </c>
      <c r="E146" t="s">
        <v>256</v>
      </c>
      <c r="F146" s="516">
        <v>66</v>
      </c>
      <c r="G146" s="516">
        <v>49.2</v>
      </c>
      <c r="H146" s="516">
        <v>58.7</v>
      </c>
      <c r="I146" s="516">
        <v>50.9</v>
      </c>
      <c r="J146" s="516">
        <v>64</v>
      </c>
      <c r="K146" s="516">
        <v>74.8</v>
      </c>
      <c r="L146" s="516">
        <v>70.900000000000006</v>
      </c>
      <c r="M146" s="516">
        <v>64.8</v>
      </c>
      <c r="N146" s="516">
        <v>59.9</v>
      </c>
      <c r="O146" s="516">
        <v>57.2</v>
      </c>
      <c r="P146" s="516">
        <v>70.599999999999994</v>
      </c>
      <c r="Q146" s="516">
        <v>76.400000000000006</v>
      </c>
      <c r="R146" s="138">
        <v>763.3</v>
      </c>
    </row>
    <row r="147" spans="1:18" x14ac:dyDescent="0.2">
      <c r="A147" t="s">
        <v>581</v>
      </c>
      <c r="B147" s="460">
        <v>220</v>
      </c>
      <c r="C147" s="460" t="s">
        <v>582</v>
      </c>
      <c r="D147" s="460" t="s">
        <v>583</v>
      </c>
      <c r="E147" t="s">
        <v>256</v>
      </c>
      <c r="F147" s="516">
        <v>82.3</v>
      </c>
      <c r="G147" s="516">
        <v>59.8</v>
      </c>
      <c r="H147" s="516">
        <v>79.3</v>
      </c>
      <c r="I147" s="516">
        <v>75.8</v>
      </c>
      <c r="J147" s="516">
        <v>77.3</v>
      </c>
      <c r="K147" s="516">
        <v>105.4</v>
      </c>
      <c r="L147" s="516">
        <v>94.8</v>
      </c>
      <c r="M147" s="516">
        <v>80.099999999999994</v>
      </c>
      <c r="N147" s="516">
        <v>74.400000000000006</v>
      </c>
      <c r="O147" s="516">
        <v>67.900000000000006</v>
      </c>
      <c r="P147" s="516">
        <v>82.8</v>
      </c>
      <c r="Q147" s="516">
        <v>93</v>
      </c>
      <c r="R147" s="138">
        <v>973</v>
      </c>
    </row>
    <row r="148" spans="1:18" x14ac:dyDescent="0.2">
      <c r="A148" t="s">
        <v>584</v>
      </c>
      <c r="B148" s="460">
        <v>124</v>
      </c>
      <c r="C148" s="460" t="s">
        <v>378</v>
      </c>
      <c r="D148" s="460" t="s">
        <v>585</v>
      </c>
      <c r="E148" t="s">
        <v>256</v>
      </c>
      <c r="F148" s="516">
        <v>72</v>
      </c>
      <c r="G148" s="516">
        <v>56.4</v>
      </c>
      <c r="H148" s="516">
        <v>67.7</v>
      </c>
      <c r="I148" s="516">
        <v>64.900000000000006</v>
      </c>
      <c r="J148" s="516">
        <v>70.5</v>
      </c>
      <c r="K148" s="516">
        <v>93.8</v>
      </c>
      <c r="L148" s="516">
        <v>82.3</v>
      </c>
      <c r="M148" s="516">
        <v>71.400000000000006</v>
      </c>
      <c r="N148" s="516">
        <v>60.7</v>
      </c>
      <c r="O148" s="516">
        <v>55.2</v>
      </c>
      <c r="P148" s="516">
        <v>67.900000000000006</v>
      </c>
      <c r="Q148" s="516">
        <v>75.099999999999994</v>
      </c>
      <c r="R148" s="138">
        <v>837.9</v>
      </c>
    </row>
    <row r="149" spans="1:18" x14ac:dyDescent="0.2">
      <c r="A149" t="s">
        <v>586</v>
      </c>
      <c r="B149" s="460">
        <v>230</v>
      </c>
      <c r="C149" s="460" t="s">
        <v>278</v>
      </c>
      <c r="D149" s="460" t="s">
        <v>420</v>
      </c>
      <c r="E149" t="s">
        <v>256</v>
      </c>
      <c r="F149" s="516">
        <v>87.8</v>
      </c>
      <c r="G149" s="516">
        <v>70.599999999999994</v>
      </c>
      <c r="H149" s="516">
        <v>89.5</v>
      </c>
      <c r="I149" s="516">
        <v>77.400000000000006</v>
      </c>
      <c r="J149" s="516">
        <v>84.7</v>
      </c>
      <c r="K149" s="516">
        <v>107.9</v>
      </c>
      <c r="L149" s="516">
        <v>94.7</v>
      </c>
      <c r="M149" s="516">
        <v>75.900000000000006</v>
      </c>
      <c r="N149" s="516">
        <v>76.599999999999994</v>
      </c>
      <c r="O149" s="516">
        <v>68.8</v>
      </c>
      <c r="P149" s="516">
        <v>90.4</v>
      </c>
      <c r="Q149" s="516">
        <v>98.7</v>
      </c>
      <c r="R149" s="138">
        <v>1023.1</v>
      </c>
    </row>
    <row r="150" spans="1:18" x14ac:dyDescent="0.2">
      <c r="A150" t="s">
        <v>587</v>
      </c>
      <c r="B150" s="460">
        <v>91</v>
      </c>
      <c r="C150" s="460" t="s">
        <v>480</v>
      </c>
      <c r="D150" s="460" t="s">
        <v>539</v>
      </c>
      <c r="E150" t="s">
        <v>256</v>
      </c>
      <c r="F150" s="516">
        <v>48.2</v>
      </c>
      <c r="G150" s="516">
        <v>43.7</v>
      </c>
      <c r="H150" s="516">
        <v>55.1</v>
      </c>
      <c r="I150" s="516">
        <v>50</v>
      </c>
      <c r="J150" s="516">
        <v>66.900000000000006</v>
      </c>
      <c r="K150" s="516">
        <v>70.3</v>
      </c>
      <c r="L150" s="516">
        <v>66.2</v>
      </c>
      <c r="M150" s="516">
        <v>57.6</v>
      </c>
      <c r="N150" s="516">
        <v>48.6</v>
      </c>
      <c r="O150" s="516">
        <v>51.2</v>
      </c>
      <c r="P150" s="516">
        <v>57.6</v>
      </c>
      <c r="Q150" s="516">
        <v>60.3</v>
      </c>
      <c r="R150" s="138">
        <v>675.7</v>
      </c>
    </row>
    <row r="151" spans="1:18" x14ac:dyDescent="0.2">
      <c r="A151" t="s">
        <v>588</v>
      </c>
      <c r="B151" s="460">
        <v>76</v>
      </c>
      <c r="C151" s="460" t="s">
        <v>444</v>
      </c>
      <c r="D151" s="460" t="s">
        <v>589</v>
      </c>
      <c r="E151" t="s">
        <v>256</v>
      </c>
      <c r="F151" s="516">
        <v>52.3</v>
      </c>
      <c r="G151" s="516">
        <v>46.3</v>
      </c>
      <c r="H151" s="516">
        <v>57.9</v>
      </c>
      <c r="I151" s="516">
        <v>50</v>
      </c>
      <c r="J151" s="516">
        <v>66.599999999999994</v>
      </c>
      <c r="K151" s="516">
        <v>73.099999999999994</v>
      </c>
      <c r="L151" s="516">
        <v>71.5</v>
      </c>
      <c r="M151" s="516">
        <v>64.2</v>
      </c>
      <c r="N151" s="516">
        <v>52.1</v>
      </c>
      <c r="O151" s="516">
        <v>52</v>
      </c>
      <c r="P151" s="516">
        <v>60.3</v>
      </c>
      <c r="Q151" s="516">
        <v>62.4</v>
      </c>
      <c r="R151" s="138">
        <v>708.7</v>
      </c>
    </row>
    <row r="152" spans="1:18" x14ac:dyDescent="0.2">
      <c r="A152" t="s">
        <v>590</v>
      </c>
      <c r="B152" s="460">
        <v>839</v>
      </c>
      <c r="C152" s="460" t="s">
        <v>560</v>
      </c>
      <c r="D152" s="460" t="s">
        <v>591</v>
      </c>
      <c r="E152" t="s">
        <v>256</v>
      </c>
      <c r="F152" s="516">
        <v>153.6</v>
      </c>
      <c r="G152" s="516">
        <v>109.7</v>
      </c>
      <c r="H152" s="516">
        <v>124.6</v>
      </c>
      <c r="I152" s="516">
        <v>101.7</v>
      </c>
      <c r="J152" s="516">
        <v>103.1</v>
      </c>
      <c r="K152" s="516">
        <v>123.5</v>
      </c>
      <c r="L152" s="516">
        <v>125.9</v>
      </c>
      <c r="M152" s="516">
        <v>104.7</v>
      </c>
      <c r="N152" s="516">
        <v>104.9</v>
      </c>
      <c r="O152" s="516">
        <v>110.8</v>
      </c>
      <c r="P152" s="516">
        <v>145.5</v>
      </c>
      <c r="Q152" s="516">
        <v>167.8</v>
      </c>
      <c r="R152" s="138">
        <v>1475.9</v>
      </c>
    </row>
    <row r="153" spans="1:18" x14ac:dyDescent="0.2">
      <c r="A153" t="s">
        <v>592</v>
      </c>
      <c r="B153" s="460">
        <v>505</v>
      </c>
      <c r="C153" s="460" t="s">
        <v>593</v>
      </c>
      <c r="D153" s="460" t="s">
        <v>594</v>
      </c>
      <c r="E153" t="s">
        <v>256</v>
      </c>
      <c r="F153" s="516">
        <v>77.7</v>
      </c>
      <c r="G153" s="516">
        <v>67.900000000000006</v>
      </c>
      <c r="H153" s="516">
        <v>76.2</v>
      </c>
      <c r="I153" s="516">
        <v>65.099999999999994</v>
      </c>
      <c r="J153" s="516">
        <v>66</v>
      </c>
      <c r="K153" s="516">
        <v>71.3</v>
      </c>
      <c r="L153" s="516">
        <v>73</v>
      </c>
      <c r="M153" s="516">
        <v>68.900000000000006</v>
      </c>
      <c r="N153" s="516">
        <v>59.6</v>
      </c>
      <c r="O153" s="516">
        <v>63.8</v>
      </c>
      <c r="P153" s="516">
        <v>83</v>
      </c>
      <c r="Q153" s="516">
        <v>87.7</v>
      </c>
      <c r="R153" s="138">
        <v>860.1</v>
      </c>
    </row>
    <row r="154" spans="1:18" x14ac:dyDescent="0.2">
      <c r="A154" t="s">
        <v>595</v>
      </c>
      <c r="B154" s="460">
        <v>170</v>
      </c>
      <c r="C154" s="460" t="s">
        <v>474</v>
      </c>
      <c r="D154" s="460" t="s">
        <v>596</v>
      </c>
      <c r="E154" t="s">
        <v>256</v>
      </c>
      <c r="F154" s="516">
        <v>80.599999999999994</v>
      </c>
      <c r="G154" s="516">
        <v>59.4</v>
      </c>
      <c r="H154" s="516">
        <v>73</v>
      </c>
      <c r="I154" s="516">
        <v>66.8</v>
      </c>
      <c r="J154" s="516">
        <v>76.2</v>
      </c>
      <c r="K154" s="516">
        <v>81.400000000000006</v>
      </c>
      <c r="L154" s="516">
        <v>80.900000000000006</v>
      </c>
      <c r="M154" s="516">
        <v>76.8</v>
      </c>
      <c r="N154" s="516">
        <v>69.099999999999994</v>
      </c>
      <c r="O154" s="516">
        <v>60.9</v>
      </c>
      <c r="P154" s="516">
        <v>78.3</v>
      </c>
      <c r="Q154" s="516">
        <v>93</v>
      </c>
      <c r="R154" s="138">
        <v>896.4</v>
      </c>
    </row>
    <row r="155" spans="1:18" x14ac:dyDescent="0.2">
      <c r="A155" t="s">
        <v>597</v>
      </c>
      <c r="B155" s="460">
        <v>62</v>
      </c>
      <c r="C155" s="460" t="s">
        <v>489</v>
      </c>
      <c r="D155" s="460" t="s">
        <v>598</v>
      </c>
      <c r="E155" t="s">
        <v>256</v>
      </c>
      <c r="F155" s="516">
        <v>61.2</v>
      </c>
      <c r="G155" s="516">
        <v>46.7</v>
      </c>
      <c r="H155" s="516">
        <v>62.5</v>
      </c>
      <c r="I155" s="516">
        <v>54.9</v>
      </c>
      <c r="J155" s="516">
        <v>63.1</v>
      </c>
      <c r="K155" s="516">
        <v>77.3</v>
      </c>
      <c r="L155" s="516">
        <v>76.400000000000006</v>
      </c>
      <c r="M155" s="516">
        <v>65.2</v>
      </c>
      <c r="N155" s="516">
        <v>60</v>
      </c>
      <c r="O155" s="516">
        <v>52.5</v>
      </c>
      <c r="P155" s="516">
        <v>64.099999999999994</v>
      </c>
      <c r="Q155" s="516">
        <v>71.3</v>
      </c>
      <c r="R155" s="138">
        <v>755.1</v>
      </c>
    </row>
    <row r="156" spans="1:18" x14ac:dyDescent="0.2">
      <c r="A156" t="s">
        <v>599</v>
      </c>
      <c r="B156" s="460">
        <v>35</v>
      </c>
      <c r="C156" s="460" t="s">
        <v>467</v>
      </c>
      <c r="D156" s="460" t="s">
        <v>600</v>
      </c>
      <c r="E156" t="s">
        <v>256</v>
      </c>
      <c r="F156" s="516">
        <v>62.2</v>
      </c>
      <c r="G156" s="516">
        <v>46.5</v>
      </c>
      <c r="H156" s="516">
        <v>60.2</v>
      </c>
      <c r="I156" s="516">
        <v>49.2</v>
      </c>
      <c r="J156" s="516">
        <v>63</v>
      </c>
      <c r="K156" s="516">
        <v>79.7</v>
      </c>
      <c r="L156" s="516">
        <v>73.099999999999994</v>
      </c>
      <c r="M156" s="516">
        <v>59.7</v>
      </c>
      <c r="N156" s="516">
        <v>57.5</v>
      </c>
      <c r="O156" s="516">
        <v>52.1</v>
      </c>
      <c r="P156" s="516">
        <v>65.599999999999994</v>
      </c>
      <c r="Q156" s="516">
        <v>68.900000000000006</v>
      </c>
      <c r="R156" s="138">
        <v>737.6</v>
      </c>
    </row>
    <row r="157" spans="1:18" x14ac:dyDescent="0.2">
      <c r="A157" t="s">
        <v>601</v>
      </c>
      <c r="B157" s="460">
        <v>443</v>
      </c>
      <c r="C157" s="460" t="s">
        <v>284</v>
      </c>
      <c r="D157" s="460" t="s">
        <v>602</v>
      </c>
      <c r="E157" t="s">
        <v>256</v>
      </c>
      <c r="F157" s="516">
        <v>138.6</v>
      </c>
      <c r="G157" s="516">
        <v>98.7</v>
      </c>
      <c r="H157" s="516">
        <v>119.4</v>
      </c>
      <c r="I157" s="516">
        <v>90.7</v>
      </c>
      <c r="J157" s="516">
        <v>90.5</v>
      </c>
      <c r="K157" s="516">
        <v>114.9</v>
      </c>
      <c r="L157" s="516">
        <v>127.7</v>
      </c>
      <c r="M157" s="516">
        <v>96.9</v>
      </c>
      <c r="N157" s="516">
        <v>108.8</v>
      </c>
      <c r="O157" s="516">
        <v>107.2</v>
      </c>
      <c r="P157" s="516">
        <v>135.30000000000001</v>
      </c>
      <c r="Q157" s="516">
        <v>160.19999999999999</v>
      </c>
      <c r="R157" s="138">
        <v>1388.9</v>
      </c>
    </row>
    <row r="158" spans="1:18" x14ac:dyDescent="0.2">
      <c r="A158" t="s">
        <v>603</v>
      </c>
      <c r="B158" s="460">
        <v>420</v>
      </c>
      <c r="C158" s="460" t="s">
        <v>604</v>
      </c>
      <c r="D158" s="460" t="s">
        <v>279</v>
      </c>
      <c r="E158" t="s">
        <v>256</v>
      </c>
      <c r="F158" s="516">
        <v>114.2</v>
      </c>
      <c r="G158" s="516">
        <v>82.4</v>
      </c>
      <c r="H158" s="516">
        <v>101.2</v>
      </c>
      <c r="I158" s="516">
        <v>78.3</v>
      </c>
      <c r="J158" s="516">
        <v>79.400000000000006</v>
      </c>
      <c r="K158" s="516">
        <v>94.3</v>
      </c>
      <c r="L158" s="516">
        <v>95.9</v>
      </c>
      <c r="M158" s="516">
        <v>86.3</v>
      </c>
      <c r="N158" s="516">
        <v>83.3</v>
      </c>
      <c r="O158" s="516">
        <v>91.5</v>
      </c>
      <c r="P158" s="516">
        <v>112.3</v>
      </c>
      <c r="Q158" s="516">
        <v>126.8</v>
      </c>
      <c r="R158" s="138">
        <v>1145.9000000000001</v>
      </c>
    </row>
    <row r="159" spans="1:18" x14ac:dyDescent="0.2">
      <c r="A159" t="s">
        <v>605</v>
      </c>
      <c r="B159" s="460">
        <v>684</v>
      </c>
      <c r="C159" s="460" t="s">
        <v>308</v>
      </c>
      <c r="D159" s="460" t="s">
        <v>606</v>
      </c>
      <c r="E159" t="s">
        <v>256</v>
      </c>
      <c r="F159" s="516">
        <v>123.2</v>
      </c>
      <c r="G159" s="516">
        <v>83.1</v>
      </c>
      <c r="H159" s="516">
        <v>106.8</v>
      </c>
      <c r="I159" s="516">
        <v>89.3</v>
      </c>
      <c r="J159" s="516">
        <v>93.1</v>
      </c>
      <c r="K159" s="516">
        <v>103.1</v>
      </c>
      <c r="L159" s="516">
        <v>110.4</v>
      </c>
      <c r="M159" s="516">
        <v>95.5</v>
      </c>
      <c r="N159" s="516">
        <v>88.2</v>
      </c>
      <c r="O159" s="516">
        <v>96.9</v>
      </c>
      <c r="P159" s="516">
        <v>119.8</v>
      </c>
      <c r="Q159" s="516">
        <v>132.1</v>
      </c>
      <c r="R159" s="138">
        <v>1241.5</v>
      </c>
    </row>
    <row r="160" spans="1:18" x14ac:dyDescent="0.2">
      <c r="A160" t="s">
        <v>607</v>
      </c>
      <c r="B160" s="460">
        <v>46</v>
      </c>
      <c r="C160" s="460" t="s">
        <v>419</v>
      </c>
      <c r="D160" s="460" t="s">
        <v>259</v>
      </c>
      <c r="E160" t="s">
        <v>256</v>
      </c>
      <c r="F160" s="516">
        <v>62.6</v>
      </c>
      <c r="G160" s="516">
        <v>47.6</v>
      </c>
      <c r="H160" s="516">
        <v>60.5</v>
      </c>
      <c r="I160" s="516">
        <v>48.9</v>
      </c>
      <c r="J160" s="516">
        <v>59.8</v>
      </c>
      <c r="K160" s="516">
        <v>76.5</v>
      </c>
      <c r="L160" s="516">
        <v>65.5</v>
      </c>
      <c r="M160" s="516">
        <v>65.900000000000006</v>
      </c>
      <c r="N160" s="516">
        <v>62.2</v>
      </c>
      <c r="O160" s="516">
        <v>58.5</v>
      </c>
      <c r="P160" s="516">
        <v>71.2</v>
      </c>
      <c r="Q160" s="516">
        <v>75</v>
      </c>
      <c r="R160" s="138">
        <v>754.1</v>
      </c>
    </row>
    <row r="161" spans="1:18" x14ac:dyDescent="0.2">
      <c r="A161" t="s">
        <v>608</v>
      </c>
      <c r="B161" s="460">
        <v>16</v>
      </c>
      <c r="C161" s="460" t="s">
        <v>609</v>
      </c>
      <c r="D161" s="460" t="s">
        <v>255</v>
      </c>
      <c r="E161" t="s">
        <v>256</v>
      </c>
      <c r="F161" s="516">
        <v>58.8</v>
      </c>
      <c r="G161" s="516">
        <v>40.5</v>
      </c>
      <c r="H161" s="516">
        <v>54.3</v>
      </c>
      <c r="I161" s="516">
        <v>43.9</v>
      </c>
      <c r="J161" s="516">
        <v>56.6</v>
      </c>
      <c r="K161" s="516">
        <v>70.099999999999994</v>
      </c>
      <c r="L161" s="516">
        <v>65.2</v>
      </c>
      <c r="M161" s="516">
        <v>63.6</v>
      </c>
      <c r="N161" s="516">
        <v>58.1</v>
      </c>
      <c r="O161" s="516">
        <v>52.7</v>
      </c>
      <c r="P161" s="516">
        <v>62.3</v>
      </c>
      <c r="Q161" s="516">
        <v>66.5</v>
      </c>
      <c r="R161" s="138">
        <v>692.6</v>
      </c>
    </row>
    <row r="162" spans="1:18" x14ac:dyDescent="0.2">
      <c r="A162" t="s">
        <v>610</v>
      </c>
      <c r="B162" s="460">
        <v>50</v>
      </c>
      <c r="C162" s="460" t="s">
        <v>611</v>
      </c>
      <c r="D162" s="460" t="s">
        <v>490</v>
      </c>
      <c r="E162" t="s">
        <v>256</v>
      </c>
      <c r="F162" s="516">
        <v>62.8</v>
      </c>
      <c r="G162" s="516">
        <v>49.8</v>
      </c>
      <c r="H162" s="516">
        <v>64.2</v>
      </c>
      <c r="I162" s="516">
        <v>55.2</v>
      </c>
      <c r="J162" s="516">
        <v>77.900000000000006</v>
      </c>
      <c r="K162" s="516">
        <v>84.4</v>
      </c>
      <c r="L162" s="516">
        <v>83.7</v>
      </c>
      <c r="M162" s="516">
        <v>70.099999999999994</v>
      </c>
      <c r="N162" s="516">
        <v>65.400000000000006</v>
      </c>
      <c r="O162" s="516">
        <v>54.1</v>
      </c>
      <c r="P162" s="516">
        <v>65.5</v>
      </c>
      <c r="Q162" s="516">
        <v>71.599999999999994</v>
      </c>
      <c r="R162" s="138">
        <v>804.9</v>
      </c>
    </row>
    <row r="163" spans="1:18" x14ac:dyDescent="0.2">
      <c r="A163" t="s">
        <v>612</v>
      </c>
      <c r="B163" s="460">
        <v>92</v>
      </c>
      <c r="C163" s="460" t="s">
        <v>556</v>
      </c>
      <c r="D163" s="460" t="s">
        <v>397</v>
      </c>
      <c r="E163" t="s">
        <v>256</v>
      </c>
      <c r="F163" s="516">
        <v>62.1</v>
      </c>
      <c r="G163" s="516">
        <v>48</v>
      </c>
      <c r="H163" s="516">
        <v>63.2</v>
      </c>
      <c r="I163" s="516">
        <v>55.1</v>
      </c>
      <c r="J163" s="516">
        <v>73.5</v>
      </c>
      <c r="K163" s="516">
        <v>85.9</v>
      </c>
      <c r="L163" s="516">
        <v>84.4</v>
      </c>
      <c r="M163" s="516">
        <v>76.900000000000006</v>
      </c>
      <c r="N163" s="516">
        <v>61.4</v>
      </c>
      <c r="O163" s="516">
        <v>54.9</v>
      </c>
      <c r="P163" s="516">
        <v>65.8</v>
      </c>
      <c r="Q163" s="516">
        <v>71.8</v>
      </c>
      <c r="R163" s="138">
        <v>803</v>
      </c>
    </row>
    <row r="164" spans="1:18" x14ac:dyDescent="0.2">
      <c r="A164" t="s">
        <v>613</v>
      </c>
      <c r="B164" s="460">
        <v>170</v>
      </c>
      <c r="C164" s="460" t="s">
        <v>354</v>
      </c>
      <c r="D164" s="460" t="s">
        <v>614</v>
      </c>
      <c r="E164" t="s">
        <v>256</v>
      </c>
      <c r="F164" s="516">
        <v>62.3</v>
      </c>
      <c r="G164" s="516">
        <v>51</v>
      </c>
      <c r="H164" s="516">
        <v>64.599999999999994</v>
      </c>
      <c r="I164" s="516">
        <v>60.9</v>
      </c>
      <c r="J164" s="516">
        <v>72.400000000000006</v>
      </c>
      <c r="K164" s="516">
        <v>84.8</v>
      </c>
      <c r="L164" s="516">
        <v>89.5</v>
      </c>
      <c r="M164" s="516">
        <v>76.3</v>
      </c>
      <c r="N164" s="516">
        <v>65.599999999999994</v>
      </c>
      <c r="O164" s="516">
        <v>57.7</v>
      </c>
      <c r="P164" s="516">
        <v>69.400000000000006</v>
      </c>
      <c r="Q164" s="516">
        <v>70.2</v>
      </c>
      <c r="R164" s="138">
        <v>824.9</v>
      </c>
    </row>
    <row r="165" spans="1:18" x14ac:dyDescent="0.2">
      <c r="A165" t="s">
        <v>615</v>
      </c>
      <c r="B165" s="460">
        <v>40</v>
      </c>
      <c r="C165" s="460" t="s">
        <v>373</v>
      </c>
      <c r="D165" s="460" t="s">
        <v>594</v>
      </c>
      <c r="E165" t="s">
        <v>256</v>
      </c>
      <c r="F165" s="516">
        <v>63.8</v>
      </c>
      <c r="G165" s="516">
        <v>47.5</v>
      </c>
      <c r="H165" s="516">
        <v>63.7</v>
      </c>
      <c r="I165" s="516">
        <v>51.5</v>
      </c>
      <c r="J165" s="516">
        <v>70.7</v>
      </c>
      <c r="K165" s="516">
        <v>82.5</v>
      </c>
      <c r="L165" s="516">
        <v>73.5</v>
      </c>
      <c r="M165" s="516">
        <v>62.5</v>
      </c>
      <c r="N165" s="516">
        <v>54.9</v>
      </c>
      <c r="O165" s="516">
        <v>54.2</v>
      </c>
      <c r="P165" s="516">
        <v>67.099999999999994</v>
      </c>
      <c r="Q165" s="516">
        <v>70.599999999999994</v>
      </c>
      <c r="R165" s="138">
        <v>762.5</v>
      </c>
    </row>
    <row r="166" spans="1:18" x14ac:dyDescent="0.2">
      <c r="A166" t="s">
        <v>616</v>
      </c>
      <c r="B166" s="460">
        <v>305</v>
      </c>
      <c r="C166" s="460" t="s">
        <v>449</v>
      </c>
      <c r="D166" s="460" t="s">
        <v>617</v>
      </c>
      <c r="E166" t="s">
        <v>256</v>
      </c>
      <c r="F166" s="516">
        <v>114.8</v>
      </c>
      <c r="G166" s="516">
        <v>81</v>
      </c>
      <c r="H166" s="516">
        <v>97.4</v>
      </c>
      <c r="I166" s="516">
        <v>73.400000000000006</v>
      </c>
      <c r="J166" s="516">
        <v>76.099999999999994</v>
      </c>
      <c r="K166" s="516">
        <v>92.7</v>
      </c>
      <c r="L166" s="516">
        <v>90.6</v>
      </c>
      <c r="M166" s="516">
        <v>81.400000000000006</v>
      </c>
      <c r="N166" s="516">
        <v>81.400000000000006</v>
      </c>
      <c r="O166" s="516">
        <v>86.6</v>
      </c>
      <c r="P166" s="516">
        <v>110.4</v>
      </c>
      <c r="Q166" s="516">
        <v>128</v>
      </c>
      <c r="R166" s="138">
        <v>1113.8</v>
      </c>
    </row>
    <row r="167" spans="1:18" x14ac:dyDescent="0.2">
      <c r="A167" t="s">
        <v>618</v>
      </c>
      <c r="B167" s="460">
        <v>230</v>
      </c>
      <c r="C167" s="460" t="s">
        <v>604</v>
      </c>
      <c r="D167" s="460" t="s">
        <v>545</v>
      </c>
      <c r="E167" t="s">
        <v>256</v>
      </c>
      <c r="F167" s="516">
        <v>123.7</v>
      </c>
      <c r="G167" s="516">
        <v>85.4</v>
      </c>
      <c r="H167" s="516">
        <v>108.9</v>
      </c>
      <c r="I167" s="516">
        <v>83.8</v>
      </c>
      <c r="J167" s="516">
        <v>86.5</v>
      </c>
      <c r="K167" s="516">
        <v>109.2</v>
      </c>
      <c r="L167" s="516">
        <v>113.7</v>
      </c>
      <c r="M167" s="516">
        <v>95.9</v>
      </c>
      <c r="N167" s="516">
        <v>100.8</v>
      </c>
      <c r="O167" s="516">
        <v>94.9</v>
      </c>
      <c r="P167" s="516">
        <v>117.7</v>
      </c>
      <c r="Q167" s="516">
        <v>137.6</v>
      </c>
      <c r="R167" s="138">
        <v>1257.9000000000001</v>
      </c>
    </row>
    <row r="168" spans="1:18" x14ac:dyDescent="0.2">
      <c r="A168" t="s">
        <v>619</v>
      </c>
      <c r="B168" s="460">
        <v>340</v>
      </c>
      <c r="C168" s="460" t="s">
        <v>620</v>
      </c>
      <c r="D168" s="460" t="s">
        <v>320</v>
      </c>
      <c r="E168" t="s">
        <v>256</v>
      </c>
      <c r="F168" s="516">
        <v>105.4</v>
      </c>
      <c r="G168" s="516">
        <v>80</v>
      </c>
      <c r="H168" s="516">
        <v>91.5</v>
      </c>
      <c r="I168" s="516">
        <v>68.3</v>
      </c>
      <c r="J168" s="516">
        <v>74.3</v>
      </c>
      <c r="K168" s="516">
        <v>86</v>
      </c>
      <c r="L168" s="516">
        <v>82.1</v>
      </c>
      <c r="M168" s="516">
        <v>69.5</v>
      </c>
      <c r="N168" s="516">
        <v>67.599999999999994</v>
      </c>
      <c r="O168" s="516">
        <v>75.400000000000006</v>
      </c>
      <c r="P168" s="516">
        <v>102.4</v>
      </c>
      <c r="Q168" s="516">
        <v>124.9</v>
      </c>
      <c r="R168" s="138">
        <v>1027.3</v>
      </c>
    </row>
    <row r="169" spans="1:18" x14ac:dyDescent="0.2">
      <c r="A169" t="s">
        <v>621</v>
      </c>
      <c r="B169" s="460">
        <v>458</v>
      </c>
      <c r="C169" s="460" t="s">
        <v>299</v>
      </c>
      <c r="D169" s="460" t="s">
        <v>315</v>
      </c>
      <c r="E169" t="s">
        <v>256</v>
      </c>
      <c r="F169" s="516">
        <v>125.1</v>
      </c>
      <c r="G169" s="516">
        <v>87.9</v>
      </c>
      <c r="H169" s="516">
        <v>106.9</v>
      </c>
      <c r="I169" s="516">
        <v>80.400000000000006</v>
      </c>
      <c r="J169" s="516">
        <v>79.5</v>
      </c>
      <c r="K169" s="516">
        <v>101</v>
      </c>
      <c r="L169" s="516">
        <v>107.4</v>
      </c>
      <c r="M169" s="516">
        <v>86.2</v>
      </c>
      <c r="N169" s="516">
        <v>85.2</v>
      </c>
      <c r="O169" s="516">
        <v>94.6</v>
      </c>
      <c r="P169" s="516">
        <v>127.3</v>
      </c>
      <c r="Q169" s="516">
        <v>146.5</v>
      </c>
      <c r="R169" s="138">
        <v>1227.8</v>
      </c>
    </row>
    <row r="170" spans="1:18" x14ac:dyDescent="0.2">
      <c r="A170" t="s">
        <v>622</v>
      </c>
      <c r="B170" s="460">
        <v>51</v>
      </c>
      <c r="C170" s="460" t="s">
        <v>451</v>
      </c>
      <c r="D170" s="460" t="s">
        <v>580</v>
      </c>
      <c r="E170" t="s">
        <v>256</v>
      </c>
      <c r="F170" s="516">
        <v>62.3</v>
      </c>
      <c r="G170" s="516">
        <v>43.7</v>
      </c>
      <c r="H170" s="516">
        <v>53.4</v>
      </c>
      <c r="I170" s="516">
        <v>48.9</v>
      </c>
      <c r="J170" s="516">
        <v>65.099999999999994</v>
      </c>
      <c r="K170" s="516">
        <v>80.7</v>
      </c>
      <c r="L170" s="516">
        <v>66.7</v>
      </c>
      <c r="M170" s="516">
        <v>69.7</v>
      </c>
      <c r="N170" s="516">
        <v>61.7</v>
      </c>
      <c r="O170" s="516">
        <v>52.9</v>
      </c>
      <c r="P170" s="516">
        <v>67.099999999999994</v>
      </c>
      <c r="Q170" s="516">
        <v>71.099999999999994</v>
      </c>
      <c r="R170" s="138">
        <v>743.3</v>
      </c>
    </row>
    <row r="171" spans="1:18" x14ac:dyDescent="0.2">
      <c r="A171" t="s">
        <v>623</v>
      </c>
      <c r="B171" s="460">
        <v>108</v>
      </c>
      <c r="C171" s="460" t="s">
        <v>330</v>
      </c>
      <c r="D171" s="460" t="s">
        <v>624</v>
      </c>
      <c r="E171" t="s">
        <v>256</v>
      </c>
      <c r="F171" s="516">
        <v>69.900000000000006</v>
      </c>
      <c r="G171" s="516">
        <v>50.7</v>
      </c>
      <c r="H171" s="516">
        <v>59.8</v>
      </c>
      <c r="I171" s="516">
        <v>57.8</v>
      </c>
      <c r="J171" s="516">
        <v>69.7</v>
      </c>
      <c r="K171" s="516">
        <v>77.599999999999994</v>
      </c>
      <c r="L171" s="516">
        <v>73.400000000000006</v>
      </c>
      <c r="M171" s="516">
        <v>70.8</v>
      </c>
      <c r="N171" s="516">
        <v>62.7</v>
      </c>
      <c r="O171" s="516">
        <v>55.8</v>
      </c>
      <c r="P171" s="516">
        <v>69.7</v>
      </c>
      <c r="Q171" s="516">
        <v>80.900000000000006</v>
      </c>
      <c r="R171" s="138">
        <v>798.9</v>
      </c>
    </row>
    <row r="172" spans="1:18" x14ac:dyDescent="0.2">
      <c r="A172" t="s">
        <v>625</v>
      </c>
      <c r="B172" s="460">
        <v>160</v>
      </c>
      <c r="C172" s="460" t="s">
        <v>334</v>
      </c>
      <c r="D172" s="460" t="s">
        <v>626</v>
      </c>
      <c r="E172" t="s">
        <v>256</v>
      </c>
      <c r="F172" s="516">
        <v>93.7</v>
      </c>
      <c r="G172" s="516">
        <v>68.5</v>
      </c>
      <c r="H172" s="516">
        <v>80.5</v>
      </c>
      <c r="I172" s="516">
        <v>68.2</v>
      </c>
      <c r="J172" s="516">
        <v>80.3</v>
      </c>
      <c r="K172" s="516">
        <v>85.1</v>
      </c>
      <c r="L172" s="516">
        <v>89.7</v>
      </c>
      <c r="M172" s="516">
        <v>83.7</v>
      </c>
      <c r="N172" s="516">
        <v>73</v>
      </c>
      <c r="O172" s="516">
        <v>72.2</v>
      </c>
      <c r="P172" s="516">
        <v>91</v>
      </c>
      <c r="Q172" s="516">
        <v>104.4</v>
      </c>
      <c r="R172" s="138">
        <v>990.2</v>
      </c>
    </row>
    <row r="173" spans="1:18" x14ac:dyDescent="0.2">
      <c r="A173" t="s">
        <v>627</v>
      </c>
      <c r="B173" s="460">
        <v>106</v>
      </c>
      <c r="C173" s="460" t="s">
        <v>451</v>
      </c>
      <c r="D173" s="460" t="s">
        <v>628</v>
      </c>
      <c r="E173" t="s">
        <v>256</v>
      </c>
      <c r="F173" s="516">
        <v>75.8</v>
      </c>
      <c r="G173" s="516">
        <v>50.5</v>
      </c>
      <c r="H173" s="516">
        <v>64.599999999999994</v>
      </c>
      <c r="I173" s="516">
        <v>59.5</v>
      </c>
      <c r="J173" s="516">
        <v>73.2</v>
      </c>
      <c r="K173" s="516">
        <v>77.2</v>
      </c>
      <c r="L173" s="516">
        <v>75.3</v>
      </c>
      <c r="M173" s="516">
        <v>75.099999999999994</v>
      </c>
      <c r="N173" s="516">
        <v>63.1</v>
      </c>
      <c r="O173" s="516">
        <v>52.7</v>
      </c>
      <c r="P173" s="516">
        <v>66.5</v>
      </c>
      <c r="Q173" s="516">
        <v>77.7</v>
      </c>
      <c r="R173" s="138">
        <v>811.2</v>
      </c>
    </row>
    <row r="174" spans="1:18" x14ac:dyDescent="0.2">
      <c r="A174" t="s">
        <v>629</v>
      </c>
      <c r="B174" s="460">
        <v>73</v>
      </c>
      <c r="C174" s="460" t="s">
        <v>325</v>
      </c>
      <c r="D174" s="460" t="s">
        <v>630</v>
      </c>
      <c r="E174" t="s">
        <v>256</v>
      </c>
      <c r="F174" s="516">
        <v>74.099999999999994</v>
      </c>
      <c r="G174" s="516">
        <v>52</v>
      </c>
      <c r="H174" s="516">
        <v>67.8</v>
      </c>
      <c r="I174" s="516">
        <v>53.5</v>
      </c>
      <c r="J174" s="516">
        <v>69.900000000000006</v>
      </c>
      <c r="K174" s="516">
        <v>80.400000000000006</v>
      </c>
      <c r="L174" s="516">
        <v>76.8</v>
      </c>
      <c r="M174" s="516">
        <v>69.599999999999994</v>
      </c>
      <c r="N174" s="516">
        <v>67</v>
      </c>
      <c r="O174" s="516">
        <v>59.5</v>
      </c>
      <c r="P174" s="516">
        <v>77.099999999999994</v>
      </c>
      <c r="Q174" s="516">
        <v>86.4</v>
      </c>
      <c r="R174" s="138">
        <v>834.3</v>
      </c>
    </row>
    <row r="175" spans="1:18" x14ac:dyDescent="0.2">
      <c r="A175" t="s">
        <v>631</v>
      </c>
      <c r="B175" s="460">
        <v>138</v>
      </c>
      <c r="C175" s="460" t="s">
        <v>325</v>
      </c>
      <c r="D175" s="460" t="s">
        <v>632</v>
      </c>
      <c r="E175" t="s">
        <v>256</v>
      </c>
      <c r="F175" s="516">
        <v>67.5</v>
      </c>
      <c r="G175" s="516">
        <v>49.5</v>
      </c>
      <c r="H175" s="516">
        <v>60.6</v>
      </c>
      <c r="I175" s="516">
        <v>59.8</v>
      </c>
      <c r="J175" s="516">
        <v>70.599999999999994</v>
      </c>
      <c r="K175" s="516">
        <v>80.900000000000006</v>
      </c>
      <c r="L175" s="516">
        <v>77.2</v>
      </c>
      <c r="M175" s="516">
        <v>69</v>
      </c>
      <c r="N175" s="516">
        <v>61.1</v>
      </c>
      <c r="O175" s="516">
        <v>54.7</v>
      </c>
      <c r="P175" s="516">
        <v>68.8</v>
      </c>
      <c r="Q175" s="516">
        <v>79.900000000000006</v>
      </c>
      <c r="R175" s="138">
        <v>799.6</v>
      </c>
    </row>
    <row r="176" spans="1:18" x14ac:dyDescent="0.2">
      <c r="A176" t="s">
        <v>633</v>
      </c>
      <c r="B176" s="460">
        <v>300</v>
      </c>
      <c r="C176" s="460" t="s">
        <v>286</v>
      </c>
      <c r="D176" s="460" t="s">
        <v>634</v>
      </c>
      <c r="E176" t="s">
        <v>256</v>
      </c>
      <c r="F176" s="516">
        <v>103.3</v>
      </c>
      <c r="G176" s="516">
        <v>74.3</v>
      </c>
      <c r="H176" s="516">
        <v>88.2</v>
      </c>
      <c r="I176" s="516">
        <v>73.8</v>
      </c>
      <c r="J176" s="516">
        <v>75.900000000000006</v>
      </c>
      <c r="K176" s="516">
        <v>95.6</v>
      </c>
      <c r="L176" s="516">
        <v>95.7</v>
      </c>
      <c r="M176" s="516">
        <v>83.3</v>
      </c>
      <c r="N176" s="516">
        <v>75.2</v>
      </c>
      <c r="O176" s="516">
        <v>76.599999999999994</v>
      </c>
      <c r="P176" s="516">
        <v>97.2</v>
      </c>
      <c r="Q176" s="516">
        <v>112.4</v>
      </c>
      <c r="R176" s="138">
        <v>1051.3</v>
      </c>
    </row>
    <row r="177" spans="1:18" x14ac:dyDescent="0.2">
      <c r="A177" t="s">
        <v>635</v>
      </c>
      <c r="B177" s="460">
        <v>320</v>
      </c>
      <c r="C177" s="460" t="s">
        <v>317</v>
      </c>
      <c r="D177" s="460" t="s">
        <v>294</v>
      </c>
      <c r="E177" t="s">
        <v>256</v>
      </c>
      <c r="F177" s="516">
        <v>110</v>
      </c>
      <c r="G177" s="516">
        <v>81.7</v>
      </c>
      <c r="H177" s="516">
        <v>94.3</v>
      </c>
      <c r="I177" s="516">
        <v>77.099999999999994</v>
      </c>
      <c r="J177" s="516">
        <v>81.099999999999994</v>
      </c>
      <c r="K177" s="516">
        <v>97.1</v>
      </c>
      <c r="L177" s="516">
        <v>93</v>
      </c>
      <c r="M177" s="516">
        <v>85.6</v>
      </c>
      <c r="N177" s="516">
        <v>79.7</v>
      </c>
      <c r="O177" s="516">
        <v>82.4</v>
      </c>
      <c r="P177" s="516">
        <v>105.6</v>
      </c>
      <c r="Q177" s="516">
        <v>121.5</v>
      </c>
      <c r="R177" s="138">
        <v>1109.0999999999999</v>
      </c>
    </row>
    <row r="178" spans="1:18" x14ac:dyDescent="0.2">
      <c r="A178" t="s">
        <v>636</v>
      </c>
      <c r="B178" s="460">
        <v>44</v>
      </c>
      <c r="C178" s="460" t="s">
        <v>302</v>
      </c>
      <c r="D178" s="460" t="s">
        <v>470</v>
      </c>
      <c r="E178" t="s">
        <v>256</v>
      </c>
      <c r="F178" s="516">
        <v>61.2</v>
      </c>
      <c r="G178" s="516">
        <v>47.9</v>
      </c>
      <c r="H178" s="516">
        <v>62.8</v>
      </c>
      <c r="I178" s="516">
        <v>55.2</v>
      </c>
      <c r="J178" s="516">
        <v>67.3</v>
      </c>
      <c r="K178" s="516">
        <v>75.400000000000006</v>
      </c>
      <c r="L178" s="516">
        <v>79.900000000000006</v>
      </c>
      <c r="M178" s="516">
        <v>72.3</v>
      </c>
      <c r="N178" s="516">
        <v>62.2</v>
      </c>
      <c r="O178" s="516">
        <v>54.2</v>
      </c>
      <c r="P178" s="516">
        <v>64.900000000000006</v>
      </c>
      <c r="Q178" s="516">
        <v>71.099999999999994</v>
      </c>
      <c r="R178" s="138">
        <v>774.4</v>
      </c>
    </row>
    <row r="179" spans="1:18" x14ac:dyDescent="0.2">
      <c r="A179" t="s">
        <v>637</v>
      </c>
      <c r="B179" s="460">
        <v>43</v>
      </c>
      <c r="C179" s="460" t="s">
        <v>308</v>
      </c>
      <c r="D179" s="460" t="s">
        <v>472</v>
      </c>
      <c r="E179" t="s">
        <v>256</v>
      </c>
      <c r="F179" s="516">
        <v>63.4</v>
      </c>
      <c r="G179" s="516">
        <v>47.9</v>
      </c>
      <c r="H179" s="516">
        <v>63</v>
      </c>
      <c r="I179" s="516">
        <v>54.7</v>
      </c>
      <c r="J179" s="516">
        <v>66.7</v>
      </c>
      <c r="K179" s="516">
        <v>79.400000000000006</v>
      </c>
      <c r="L179" s="516">
        <v>77.5</v>
      </c>
      <c r="M179" s="516">
        <v>69.099999999999994</v>
      </c>
      <c r="N179" s="516">
        <v>61.1</v>
      </c>
      <c r="O179" s="516">
        <v>55.4</v>
      </c>
      <c r="P179" s="516">
        <v>68.7</v>
      </c>
      <c r="Q179" s="516">
        <v>74.3</v>
      </c>
      <c r="R179" s="138">
        <v>781.3</v>
      </c>
    </row>
    <row r="180" spans="1:18" x14ac:dyDescent="0.2">
      <c r="A180" t="s">
        <v>638</v>
      </c>
      <c r="B180" s="460">
        <v>140</v>
      </c>
      <c r="C180" s="460" t="s">
        <v>286</v>
      </c>
      <c r="D180" s="460" t="s">
        <v>492</v>
      </c>
      <c r="E180" t="s">
        <v>256</v>
      </c>
      <c r="F180" s="516">
        <v>85.2</v>
      </c>
      <c r="G180" s="516">
        <v>60.9</v>
      </c>
      <c r="H180" s="516">
        <v>79.2</v>
      </c>
      <c r="I180" s="516">
        <v>63.1</v>
      </c>
      <c r="J180" s="516">
        <v>77</v>
      </c>
      <c r="K180" s="516">
        <v>95.3</v>
      </c>
      <c r="L180" s="516">
        <v>97.2</v>
      </c>
      <c r="M180" s="516">
        <v>79.8</v>
      </c>
      <c r="N180" s="516">
        <v>76.7</v>
      </c>
      <c r="O180" s="516">
        <v>72.3</v>
      </c>
      <c r="P180" s="516">
        <v>83.1</v>
      </c>
      <c r="Q180" s="516">
        <v>95</v>
      </c>
      <c r="R180" s="138">
        <v>964.7</v>
      </c>
    </row>
    <row r="181" spans="1:18" x14ac:dyDescent="0.2">
      <c r="A181" t="s">
        <v>639</v>
      </c>
      <c r="B181" s="460">
        <v>300</v>
      </c>
      <c r="C181" s="460" t="s">
        <v>640</v>
      </c>
      <c r="D181" s="460" t="s">
        <v>632</v>
      </c>
      <c r="E181" t="s">
        <v>256</v>
      </c>
      <c r="F181" s="516">
        <v>78.3</v>
      </c>
      <c r="G181" s="516">
        <v>59</v>
      </c>
      <c r="H181" s="516">
        <v>73.400000000000006</v>
      </c>
      <c r="I181" s="516">
        <v>69.3</v>
      </c>
      <c r="J181" s="516">
        <v>78</v>
      </c>
      <c r="K181" s="516">
        <v>83.4</v>
      </c>
      <c r="L181" s="516">
        <v>96</v>
      </c>
      <c r="M181" s="516">
        <v>77.2</v>
      </c>
      <c r="N181" s="516">
        <v>66.7</v>
      </c>
      <c r="O181" s="516">
        <v>58.7</v>
      </c>
      <c r="P181" s="516">
        <v>80.5</v>
      </c>
      <c r="Q181" s="516">
        <v>96.1</v>
      </c>
      <c r="R181" s="138">
        <v>916.5</v>
      </c>
    </row>
    <row r="182" spans="1:18" x14ac:dyDescent="0.2">
      <c r="A182" t="s">
        <v>641</v>
      </c>
      <c r="B182" s="460">
        <v>375</v>
      </c>
      <c r="C182" s="460" t="s">
        <v>390</v>
      </c>
      <c r="D182" s="460" t="s">
        <v>632</v>
      </c>
      <c r="E182" t="s">
        <v>256</v>
      </c>
      <c r="F182" s="516">
        <v>73.599999999999994</v>
      </c>
      <c r="G182" s="516">
        <v>61.4</v>
      </c>
      <c r="H182" s="516">
        <v>70.099999999999994</v>
      </c>
      <c r="I182" s="516">
        <v>65.8</v>
      </c>
      <c r="J182" s="516">
        <v>79.5</v>
      </c>
      <c r="K182" s="516">
        <v>86.7</v>
      </c>
      <c r="L182" s="516">
        <v>86.5</v>
      </c>
      <c r="M182" s="516">
        <v>78</v>
      </c>
      <c r="N182" s="516">
        <v>63.6</v>
      </c>
      <c r="O182" s="516">
        <v>56.3</v>
      </c>
      <c r="P182" s="516">
        <v>74.5</v>
      </c>
      <c r="Q182" s="516">
        <v>86.3</v>
      </c>
      <c r="R182" s="138">
        <v>882.3</v>
      </c>
    </row>
    <row r="183" spans="1:18" x14ac:dyDescent="0.2">
      <c r="A183" t="s">
        <v>642</v>
      </c>
      <c r="B183" s="460">
        <v>55</v>
      </c>
      <c r="C183" s="460" t="s">
        <v>549</v>
      </c>
      <c r="D183" s="460" t="s">
        <v>268</v>
      </c>
      <c r="E183" t="s">
        <v>256</v>
      </c>
      <c r="F183" s="516">
        <v>66.400000000000006</v>
      </c>
      <c r="G183" s="516">
        <v>47</v>
      </c>
      <c r="H183" s="516">
        <v>57.9</v>
      </c>
      <c r="I183" s="516">
        <v>53.6</v>
      </c>
      <c r="J183" s="516">
        <v>68.5</v>
      </c>
      <c r="K183" s="516">
        <v>83.9</v>
      </c>
      <c r="L183" s="516">
        <v>69.400000000000006</v>
      </c>
      <c r="M183" s="516">
        <v>68.900000000000006</v>
      </c>
      <c r="N183" s="516">
        <v>62.1</v>
      </c>
      <c r="O183" s="516">
        <v>56.1</v>
      </c>
      <c r="P183" s="516">
        <v>68.900000000000006</v>
      </c>
      <c r="Q183" s="516">
        <v>77.3</v>
      </c>
      <c r="R183" s="138">
        <v>779.9</v>
      </c>
    </row>
    <row r="184" spans="1:18" x14ac:dyDescent="0.2">
      <c r="A184" t="s">
        <v>643</v>
      </c>
      <c r="B184" s="460">
        <v>243</v>
      </c>
      <c r="C184" s="460" t="s">
        <v>312</v>
      </c>
      <c r="D184" s="460" t="s">
        <v>644</v>
      </c>
      <c r="E184" t="s">
        <v>256</v>
      </c>
      <c r="F184" s="516">
        <v>121.3</v>
      </c>
      <c r="G184" s="516">
        <v>78</v>
      </c>
      <c r="H184" s="516">
        <v>104.1</v>
      </c>
      <c r="I184" s="516">
        <v>84.5</v>
      </c>
      <c r="J184" s="516">
        <v>92.1</v>
      </c>
      <c r="K184" s="516">
        <v>109.8</v>
      </c>
      <c r="L184" s="516">
        <v>113.2</v>
      </c>
      <c r="M184" s="516">
        <v>94.1</v>
      </c>
      <c r="N184" s="516">
        <v>89.7</v>
      </c>
      <c r="O184" s="516">
        <v>92.2</v>
      </c>
      <c r="P184" s="516">
        <v>117.3</v>
      </c>
      <c r="Q184" s="516">
        <v>133.19999999999999</v>
      </c>
      <c r="R184" s="138">
        <v>1229.5</v>
      </c>
    </row>
    <row r="185" spans="1:18" x14ac:dyDescent="0.2">
      <c r="A185" t="s">
        <v>645</v>
      </c>
      <c r="B185" s="460">
        <v>157</v>
      </c>
      <c r="C185" s="460" t="s">
        <v>405</v>
      </c>
      <c r="D185" s="460" t="s">
        <v>646</v>
      </c>
      <c r="E185" t="s">
        <v>256</v>
      </c>
      <c r="F185" s="516">
        <v>79.599999999999994</v>
      </c>
      <c r="G185" s="516">
        <v>55.4</v>
      </c>
      <c r="H185" s="516">
        <v>70.5</v>
      </c>
      <c r="I185" s="516">
        <v>66.599999999999994</v>
      </c>
      <c r="J185" s="516">
        <v>78.2</v>
      </c>
      <c r="K185" s="516">
        <v>89.7</v>
      </c>
      <c r="L185" s="516">
        <v>88.6</v>
      </c>
      <c r="M185" s="516">
        <v>82.9</v>
      </c>
      <c r="N185" s="516">
        <v>70.400000000000006</v>
      </c>
      <c r="O185" s="516">
        <v>59.5</v>
      </c>
      <c r="P185" s="516">
        <v>79.400000000000006</v>
      </c>
      <c r="Q185" s="516">
        <v>92.8</v>
      </c>
      <c r="R185" s="138">
        <v>913.6</v>
      </c>
    </row>
    <row r="186" spans="1:18" x14ac:dyDescent="0.2">
      <c r="A186" t="s">
        <v>647</v>
      </c>
      <c r="B186" s="460">
        <v>73</v>
      </c>
      <c r="C186" s="460" t="s">
        <v>322</v>
      </c>
      <c r="D186" s="460" t="s">
        <v>648</v>
      </c>
      <c r="E186" t="s">
        <v>256</v>
      </c>
      <c r="F186" s="516">
        <v>55.6</v>
      </c>
      <c r="G186" s="516">
        <v>43.3</v>
      </c>
      <c r="H186" s="516">
        <v>57.5</v>
      </c>
      <c r="I186" s="516">
        <v>55.5</v>
      </c>
      <c r="J186" s="516">
        <v>65.8</v>
      </c>
      <c r="K186" s="516">
        <v>79.599999999999994</v>
      </c>
      <c r="L186" s="516">
        <v>74.2</v>
      </c>
      <c r="M186" s="516">
        <v>68.099999999999994</v>
      </c>
      <c r="N186" s="516">
        <v>56.1</v>
      </c>
      <c r="O186" s="516">
        <v>49.7</v>
      </c>
      <c r="P186" s="516">
        <v>63.9</v>
      </c>
      <c r="Q186" s="516">
        <v>68.900000000000006</v>
      </c>
      <c r="R186" s="138">
        <v>738.3</v>
      </c>
    </row>
    <row r="187" spans="1:18" x14ac:dyDescent="0.2">
      <c r="A187" t="s">
        <v>649</v>
      </c>
      <c r="B187" s="460">
        <v>71</v>
      </c>
      <c r="C187" s="460" t="s">
        <v>650</v>
      </c>
      <c r="D187" s="460" t="s">
        <v>523</v>
      </c>
      <c r="E187" t="s">
        <v>256</v>
      </c>
      <c r="F187" s="516">
        <v>54.5</v>
      </c>
      <c r="G187" s="516">
        <v>44.6</v>
      </c>
      <c r="H187" s="516">
        <v>57.9</v>
      </c>
      <c r="I187" s="516">
        <v>56.1</v>
      </c>
      <c r="J187" s="516">
        <v>69.099999999999994</v>
      </c>
      <c r="K187" s="516">
        <v>82.3</v>
      </c>
      <c r="L187" s="516">
        <v>76.599999999999994</v>
      </c>
      <c r="M187" s="516">
        <v>67.900000000000006</v>
      </c>
      <c r="N187" s="516">
        <v>60.6</v>
      </c>
      <c r="O187" s="516">
        <v>50.3</v>
      </c>
      <c r="P187" s="516">
        <v>61.9</v>
      </c>
      <c r="Q187" s="516">
        <v>67</v>
      </c>
      <c r="R187" s="138">
        <v>748.8</v>
      </c>
    </row>
    <row r="188" spans="1:18" x14ac:dyDescent="0.2">
      <c r="A188" t="s">
        <v>651</v>
      </c>
      <c r="B188" s="460">
        <v>92</v>
      </c>
      <c r="C188" s="460" t="s">
        <v>517</v>
      </c>
      <c r="D188" s="460" t="s">
        <v>306</v>
      </c>
      <c r="E188" t="s">
        <v>256</v>
      </c>
      <c r="F188" s="516">
        <v>58.5</v>
      </c>
      <c r="G188" s="516">
        <v>46.8</v>
      </c>
      <c r="H188" s="516">
        <v>62.1</v>
      </c>
      <c r="I188" s="516">
        <v>57.8</v>
      </c>
      <c r="J188" s="516">
        <v>75.2</v>
      </c>
      <c r="K188" s="516">
        <v>88.5</v>
      </c>
      <c r="L188" s="516">
        <v>82.9</v>
      </c>
      <c r="M188" s="516">
        <v>72.8</v>
      </c>
      <c r="N188" s="516">
        <v>60.9</v>
      </c>
      <c r="O188" s="516">
        <v>50.4</v>
      </c>
      <c r="P188" s="516">
        <v>67</v>
      </c>
      <c r="Q188" s="516">
        <v>73.400000000000006</v>
      </c>
      <c r="R188" s="138">
        <v>796.4</v>
      </c>
    </row>
    <row r="189" spans="1:18" x14ac:dyDescent="0.2">
      <c r="A189" t="s">
        <v>652</v>
      </c>
      <c r="B189" s="460">
        <v>110</v>
      </c>
      <c r="C189" s="460" t="s">
        <v>653</v>
      </c>
      <c r="D189" s="460" t="s">
        <v>547</v>
      </c>
      <c r="E189" t="s">
        <v>256</v>
      </c>
      <c r="F189" s="516">
        <v>116.6</v>
      </c>
      <c r="G189" s="516">
        <v>84.8</v>
      </c>
      <c r="H189" s="516">
        <v>107.5</v>
      </c>
      <c r="I189" s="516">
        <v>82.4</v>
      </c>
      <c r="J189" s="516">
        <v>87</v>
      </c>
      <c r="K189" s="516">
        <v>109.7</v>
      </c>
      <c r="L189" s="516">
        <v>112.8</v>
      </c>
      <c r="M189" s="516">
        <v>91.2</v>
      </c>
      <c r="N189" s="516">
        <v>90.3</v>
      </c>
      <c r="O189" s="516">
        <v>84.6</v>
      </c>
      <c r="P189" s="516">
        <v>106.3</v>
      </c>
      <c r="Q189" s="516">
        <v>125.9</v>
      </c>
      <c r="R189" s="138">
        <v>1199</v>
      </c>
    </row>
    <row r="190" spans="1:18" x14ac:dyDescent="0.2">
      <c r="A190" t="s">
        <v>654</v>
      </c>
      <c r="B190" s="460">
        <v>55</v>
      </c>
      <c r="C190" s="460" t="s">
        <v>655</v>
      </c>
      <c r="D190" s="460" t="s">
        <v>381</v>
      </c>
      <c r="E190" t="s">
        <v>256</v>
      </c>
      <c r="F190" s="516">
        <v>51.6</v>
      </c>
      <c r="G190" s="516">
        <v>38.5</v>
      </c>
      <c r="H190" s="516">
        <v>46</v>
      </c>
      <c r="I190" s="516">
        <v>48.2</v>
      </c>
      <c r="J190" s="516">
        <v>62.7</v>
      </c>
      <c r="K190" s="516">
        <v>69.2</v>
      </c>
      <c r="L190" s="516">
        <v>58.7</v>
      </c>
      <c r="M190" s="516">
        <v>63</v>
      </c>
      <c r="N190" s="516">
        <v>57.4</v>
      </c>
      <c r="O190" s="516">
        <v>45.2</v>
      </c>
      <c r="P190" s="516">
        <v>55.1</v>
      </c>
      <c r="Q190" s="516">
        <v>57.4</v>
      </c>
      <c r="R190" s="138">
        <v>652.9</v>
      </c>
    </row>
    <row r="191" spans="1:18" x14ac:dyDescent="0.2">
      <c r="A191" t="s">
        <v>656</v>
      </c>
      <c r="B191" s="460">
        <v>444</v>
      </c>
      <c r="C191" s="460" t="s">
        <v>432</v>
      </c>
      <c r="D191" s="460" t="s">
        <v>564</v>
      </c>
      <c r="E191" t="s">
        <v>256</v>
      </c>
      <c r="F191" s="516">
        <v>120.5</v>
      </c>
      <c r="G191" s="516">
        <v>87.7</v>
      </c>
      <c r="H191" s="516">
        <v>102</v>
      </c>
      <c r="I191" s="516">
        <v>82.9</v>
      </c>
      <c r="J191" s="516">
        <v>86.5</v>
      </c>
      <c r="K191" s="516">
        <v>103.4</v>
      </c>
      <c r="L191" s="516">
        <v>111.2</v>
      </c>
      <c r="M191" s="516">
        <v>90.3</v>
      </c>
      <c r="N191" s="516">
        <v>93.1</v>
      </c>
      <c r="O191" s="516">
        <v>90.1</v>
      </c>
      <c r="P191" s="516">
        <v>114.9</v>
      </c>
      <c r="Q191" s="516">
        <v>130.80000000000001</v>
      </c>
      <c r="R191" s="138">
        <v>1213.5</v>
      </c>
    </row>
    <row r="192" spans="1:18" x14ac:dyDescent="0.2">
      <c r="A192" t="s">
        <v>657</v>
      </c>
      <c r="B192" s="460">
        <v>58</v>
      </c>
      <c r="C192" s="460" t="s">
        <v>267</v>
      </c>
      <c r="D192" s="460" t="s">
        <v>371</v>
      </c>
      <c r="E192" t="s">
        <v>256</v>
      </c>
      <c r="F192" s="516">
        <v>70.8</v>
      </c>
      <c r="G192" s="516">
        <v>51.6</v>
      </c>
      <c r="H192" s="516">
        <v>65.8</v>
      </c>
      <c r="I192" s="516">
        <v>53.5</v>
      </c>
      <c r="J192" s="516">
        <v>61.5</v>
      </c>
      <c r="K192" s="516">
        <v>84.9</v>
      </c>
      <c r="L192" s="516">
        <v>77.2</v>
      </c>
      <c r="M192" s="516">
        <v>60.8</v>
      </c>
      <c r="N192" s="516">
        <v>68.8</v>
      </c>
      <c r="O192" s="516">
        <v>56.1</v>
      </c>
      <c r="P192" s="516">
        <v>75.5</v>
      </c>
      <c r="Q192" s="516">
        <v>81.900000000000006</v>
      </c>
      <c r="R192" s="138">
        <v>808.4</v>
      </c>
    </row>
    <row r="193" spans="1:18" x14ac:dyDescent="0.2">
      <c r="A193" t="s">
        <v>658</v>
      </c>
      <c r="B193" s="460">
        <v>52</v>
      </c>
      <c r="C193" s="460" t="s">
        <v>640</v>
      </c>
      <c r="D193" s="460" t="s">
        <v>414</v>
      </c>
      <c r="E193" t="s">
        <v>256</v>
      </c>
      <c r="F193" s="516">
        <v>65.7</v>
      </c>
      <c r="G193" s="516">
        <v>46.9</v>
      </c>
      <c r="H193" s="516">
        <v>59.5</v>
      </c>
      <c r="I193" s="516">
        <v>60.3</v>
      </c>
      <c r="J193" s="516">
        <v>71</v>
      </c>
      <c r="K193" s="516">
        <v>87.4</v>
      </c>
      <c r="L193" s="516">
        <v>82.3</v>
      </c>
      <c r="M193" s="516">
        <v>72.7</v>
      </c>
      <c r="N193" s="516">
        <v>61.5</v>
      </c>
      <c r="O193" s="516">
        <v>57.2</v>
      </c>
      <c r="P193" s="516">
        <v>68.900000000000006</v>
      </c>
      <c r="Q193" s="516">
        <v>75.400000000000006</v>
      </c>
      <c r="R193" s="138">
        <v>808.7</v>
      </c>
    </row>
    <row r="194" spans="1:18" x14ac:dyDescent="0.2">
      <c r="A194" t="s">
        <v>659</v>
      </c>
      <c r="B194" s="460">
        <v>318</v>
      </c>
      <c r="C194" s="460" t="s">
        <v>317</v>
      </c>
      <c r="D194" s="460" t="s">
        <v>660</v>
      </c>
      <c r="E194" t="s">
        <v>256</v>
      </c>
      <c r="F194" s="516">
        <v>141.5</v>
      </c>
      <c r="G194" s="516">
        <v>95.8</v>
      </c>
      <c r="H194" s="516">
        <v>124.2</v>
      </c>
      <c r="I194" s="516">
        <v>93.9</v>
      </c>
      <c r="J194" s="516">
        <v>95.7</v>
      </c>
      <c r="K194" s="516">
        <v>108.2</v>
      </c>
      <c r="L194" s="516">
        <v>119.1</v>
      </c>
      <c r="M194" s="516">
        <v>97.4</v>
      </c>
      <c r="N194" s="516">
        <v>104.1</v>
      </c>
      <c r="O194" s="516">
        <v>104.4</v>
      </c>
      <c r="P194" s="516">
        <v>134.69999999999999</v>
      </c>
      <c r="Q194" s="516">
        <v>158</v>
      </c>
      <c r="R194" s="138">
        <v>1376.9</v>
      </c>
    </row>
    <row r="195" spans="1:18" x14ac:dyDescent="0.2">
      <c r="A195" t="s">
        <v>661</v>
      </c>
      <c r="B195" s="460">
        <v>385</v>
      </c>
      <c r="C195" s="460" t="s">
        <v>308</v>
      </c>
      <c r="D195" s="460" t="s">
        <v>602</v>
      </c>
      <c r="E195" t="s">
        <v>256</v>
      </c>
      <c r="F195" s="516">
        <v>148.69999999999999</v>
      </c>
      <c r="G195" s="516">
        <v>103.8</v>
      </c>
      <c r="H195" s="516">
        <v>126.8</v>
      </c>
      <c r="I195" s="516">
        <v>100.6</v>
      </c>
      <c r="J195" s="516">
        <v>96.5</v>
      </c>
      <c r="K195" s="516">
        <v>112.8</v>
      </c>
      <c r="L195" s="516">
        <v>118.9</v>
      </c>
      <c r="M195" s="516">
        <v>98.2</v>
      </c>
      <c r="N195" s="516">
        <v>108.3</v>
      </c>
      <c r="O195" s="516">
        <v>109.9</v>
      </c>
      <c r="P195" s="516">
        <v>141</v>
      </c>
      <c r="Q195" s="516">
        <v>167.4</v>
      </c>
      <c r="R195" s="138">
        <v>1433</v>
      </c>
    </row>
    <row r="196" spans="1:18" x14ac:dyDescent="0.2">
      <c r="A196" t="s">
        <v>662</v>
      </c>
      <c r="B196" s="460">
        <v>223</v>
      </c>
      <c r="C196" s="460" t="s">
        <v>342</v>
      </c>
      <c r="D196" s="460" t="s">
        <v>663</v>
      </c>
      <c r="E196" t="s">
        <v>256</v>
      </c>
      <c r="F196" s="516">
        <v>74.3</v>
      </c>
      <c r="G196" s="516">
        <v>50.1</v>
      </c>
      <c r="H196" s="516">
        <v>64.7</v>
      </c>
      <c r="I196" s="516">
        <v>62.2</v>
      </c>
      <c r="J196" s="516">
        <v>77.599999999999994</v>
      </c>
      <c r="K196" s="516">
        <v>81.599999999999994</v>
      </c>
      <c r="L196" s="516">
        <v>77.3</v>
      </c>
      <c r="M196" s="516">
        <v>76.8</v>
      </c>
      <c r="N196" s="516">
        <v>62.3</v>
      </c>
      <c r="O196" s="516">
        <v>51.3</v>
      </c>
      <c r="P196" s="516">
        <v>72.599999999999994</v>
      </c>
      <c r="Q196" s="516">
        <v>84.7</v>
      </c>
      <c r="R196" s="138">
        <v>835.5</v>
      </c>
    </row>
    <row r="197" spans="1:18" x14ac:dyDescent="0.2">
      <c r="A197" t="s">
        <v>664</v>
      </c>
      <c r="B197" s="460">
        <v>377</v>
      </c>
      <c r="C197" s="460" t="s">
        <v>278</v>
      </c>
      <c r="D197" s="460" t="s">
        <v>665</v>
      </c>
      <c r="E197" t="s">
        <v>256</v>
      </c>
      <c r="F197" s="516">
        <v>75.3</v>
      </c>
      <c r="G197" s="516">
        <v>60.6</v>
      </c>
      <c r="H197" s="516">
        <v>67.599999999999994</v>
      </c>
      <c r="I197" s="516">
        <v>63.1</v>
      </c>
      <c r="J197" s="516">
        <v>74.3</v>
      </c>
      <c r="K197" s="516">
        <v>83.5</v>
      </c>
      <c r="L197" s="516">
        <v>76.099999999999994</v>
      </c>
      <c r="M197" s="516">
        <v>73.3</v>
      </c>
      <c r="N197" s="516">
        <v>59.8</v>
      </c>
      <c r="O197" s="516">
        <v>58.4</v>
      </c>
      <c r="P197" s="516">
        <v>74.8</v>
      </c>
      <c r="Q197" s="516">
        <v>86.3</v>
      </c>
      <c r="R197" s="138">
        <v>852.9</v>
      </c>
    </row>
    <row r="198" spans="1:18" x14ac:dyDescent="0.2">
      <c r="A198" t="s">
        <v>666</v>
      </c>
      <c r="B198" s="460">
        <v>380</v>
      </c>
      <c r="C198" s="460" t="s">
        <v>376</v>
      </c>
      <c r="D198" s="460" t="s">
        <v>667</v>
      </c>
      <c r="E198" t="s">
        <v>256</v>
      </c>
      <c r="F198" s="516">
        <v>51.1</v>
      </c>
      <c r="G198" s="516">
        <v>42.3</v>
      </c>
      <c r="H198" s="516">
        <v>49.2</v>
      </c>
      <c r="I198" s="516">
        <v>50.4</v>
      </c>
      <c r="J198" s="516">
        <v>61.1</v>
      </c>
      <c r="K198" s="516">
        <v>74.5</v>
      </c>
      <c r="L198" s="516">
        <v>69.900000000000006</v>
      </c>
      <c r="M198" s="516">
        <v>68.5</v>
      </c>
      <c r="N198" s="516">
        <v>52.3</v>
      </c>
      <c r="O198" s="516">
        <v>46.1</v>
      </c>
      <c r="P198" s="516">
        <v>55.7</v>
      </c>
      <c r="Q198" s="516">
        <v>60.5</v>
      </c>
      <c r="R198" s="138">
        <v>681.6</v>
      </c>
    </row>
    <row r="199" spans="1:18" x14ac:dyDescent="0.2">
      <c r="A199" t="s">
        <v>668</v>
      </c>
      <c r="B199" s="460">
        <v>402</v>
      </c>
      <c r="C199" s="460" t="s">
        <v>432</v>
      </c>
      <c r="D199" s="460" t="s">
        <v>669</v>
      </c>
      <c r="E199" t="s">
        <v>256</v>
      </c>
      <c r="F199" s="516">
        <v>74.7</v>
      </c>
      <c r="G199" s="516">
        <v>56.6</v>
      </c>
      <c r="H199" s="516">
        <v>66.099999999999994</v>
      </c>
      <c r="I199" s="516">
        <v>50.2</v>
      </c>
      <c r="J199" s="516">
        <v>64.099999999999994</v>
      </c>
      <c r="K199" s="516">
        <v>71.3</v>
      </c>
      <c r="L199" s="516">
        <v>68.599999999999994</v>
      </c>
      <c r="M199" s="516">
        <v>59.7</v>
      </c>
      <c r="N199" s="516">
        <v>57.2</v>
      </c>
      <c r="O199" s="516">
        <v>58.6</v>
      </c>
      <c r="P199" s="516">
        <v>79.5</v>
      </c>
      <c r="Q199" s="516">
        <v>83.2</v>
      </c>
      <c r="R199" s="138">
        <v>789.8</v>
      </c>
    </row>
    <row r="200" spans="1:18" x14ac:dyDescent="0.2">
      <c r="A200" t="s">
        <v>670</v>
      </c>
      <c r="B200" s="460">
        <v>660</v>
      </c>
      <c r="C200" s="460" t="s">
        <v>370</v>
      </c>
      <c r="D200" s="460" t="s">
        <v>671</v>
      </c>
      <c r="E200" t="s">
        <v>256</v>
      </c>
      <c r="F200" s="516">
        <v>112.9</v>
      </c>
      <c r="G200" s="516">
        <v>85.6</v>
      </c>
      <c r="H200" s="516">
        <v>95.9</v>
      </c>
      <c r="I200" s="516">
        <v>84.8</v>
      </c>
      <c r="J200" s="516">
        <v>82.3</v>
      </c>
      <c r="K200" s="516">
        <v>101</v>
      </c>
      <c r="L200" s="516">
        <v>101.7</v>
      </c>
      <c r="M200" s="516">
        <v>95.1</v>
      </c>
      <c r="N200" s="516">
        <v>85.1</v>
      </c>
      <c r="O200" s="516">
        <v>90.3</v>
      </c>
      <c r="P200" s="516">
        <v>111.2</v>
      </c>
      <c r="Q200" s="516">
        <v>130.80000000000001</v>
      </c>
      <c r="R200" s="138">
        <v>1176.8</v>
      </c>
    </row>
    <row r="201" spans="1:18" x14ac:dyDescent="0.2">
      <c r="A201" t="s">
        <v>672</v>
      </c>
      <c r="B201" s="460">
        <v>431</v>
      </c>
      <c r="C201" s="460" t="s">
        <v>286</v>
      </c>
      <c r="D201" s="460" t="s">
        <v>564</v>
      </c>
      <c r="E201" t="s">
        <v>256</v>
      </c>
      <c r="F201" s="516">
        <v>152</v>
      </c>
      <c r="G201" s="516">
        <v>110</v>
      </c>
      <c r="H201" s="516">
        <v>129</v>
      </c>
      <c r="I201" s="516">
        <v>99</v>
      </c>
      <c r="J201" s="516">
        <v>93</v>
      </c>
      <c r="K201" s="516">
        <v>113</v>
      </c>
      <c r="L201" s="516">
        <v>123</v>
      </c>
      <c r="M201" s="516">
        <v>97</v>
      </c>
      <c r="N201" s="516">
        <v>114</v>
      </c>
      <c r="O201" s="516">
        <v>114</v>
      </c>
      <c r="P201" s="516">
        <v>142</v>
      </c>
      <c r="Q201" s="516">
        <v>166</v>
      </c>
      <c r="R201" s="138">
        <v>1452</v>
      </c>
    </row>
    <row r="202" spans="1:18" x14ac:dyDescent="0.2">
      <c r="A202" t="s">
        <v>673</v>
      </c>
      <c r="B202" s="460">
        <v>506</v>
      </c>
      <c r="C202" s="460" t="s">
        <v>317</v>
      </c>
      <c r="D202" s="460" t="s">
        <v>303</v>
      </c>
      <c r="E202" t="s">
        <v>256</v>
      </c>
      <c r="F202" s="516">
        <v>151.69999999999999</v>
      </c>
      <c r="G202" s="516">
        <v>109.7</v>
      </c>
      <c r="H202" s="516">
        <v>132.80000000000001</v>
      </c>
      <c r="I202" s="516">
        <v>98.5</v>
      </c>
      <c r="J202" s="516">
        <v>98.3</v>
      </c>
      <c r="K202" s="516">
        <v>118.8</v>
      </c>
      <c r="L202" s="516">
        <v>127.8</v>
      </c>
      <c r="M202" s="516">
        <v>97.3</v>
      </c>
      <c r="N202" s="516">
        <v>113.3</v>
      </c>
      <c r="O202" s="516">
        <v>116.5</v>
      </c>
      <c r="P202" s="516">
        <v>148</v>
      </c>
      <c r="Q202" s="516">
        <v>171.3</v>
      </c>
      <c r="R202" s="138">
        <v>1484</v>
      </c>
    </row>
    <row r="203" spans="1:18" x14ac:dyDescent="0.2">
      <c r="A203" t="s">
        <v>674</v>
      </c>
      <c r="B203" s="460">
        <v>392</v>
      </c>
      <c r="C203" s="460" t="s">
        <v>284</v>
      </c>
      <c r="D203" s="460" t="s">
        <v>675</v>
      </c>
      <c r="E203" t="s">
        <v>256</v>
      </c>
      <c r="F203" s="516">
        <v>168.8</v>
      </c>
      <c r="G203" s="516">
        <v>116.6</v>
      </c>
      <c r="H203" s="516">
        <v>139.80000000000001</v>
      </c>
      <c r="I203" s="516">
        <v>102</v>
      </c>
      <c r="J203" s="516">
        <v>95.2</v>
      </c>
      <c r="K203" s="516">
        <v>111.7</v>
      </c>
      <c r="L203" s="516">
        <v>125.5</v>
      </c>
      <c r="M203" s="516">
        <v>89.4</v>
      </c>
      <c r="N203" s="516">
        <v>108.1</v>
      </c>
      <c r="O203" s="516">
        <v>117.7</v>
      </c>
      <c r="P203" s="516">
        <v>155.30000000000001</v>
      </c>
      <c r="Q203" s="516">
        <v>179.1</v>
      </c>
      <c r="R203" s="138">
        <v>1509.2</v>
      </c>
    </row>
    <row r="204" spans="1:18" x14ac:dyDescent="0.2">
      <c r="A204" t="s">
        <v>676</v>
      </c>
      <c r="B204" s="460">
        <v>102</v>
      </c>
      <c r="C204" s="460" t="s">
        <v>677</v>
      </c>
      <c r="D204" s="460" t="s">
        <v>438</v>
      </c>
      <c r="E204" t="s">
        <v>256</v>
      </c>
      <c r="F204" s="516">
        <v>38.5</v>
      </c>
      <c r="G204" s="516">
        <v>33.700000000000003</v>
      </c>
      <c r="H204" s="516">
        <v>42</v>
      </c>
      <c r="I204" s="516">
        <v>41.3</v>
      </c>
      <c r="J204" s="516">
        <v>55.8</v>
      </c>
      <c r="K204" s="516">
        <v>63.6</v>
      </c>
      <c r="L204" s="516">
        <v>63.6</v>
      </c>
      <c r="M204" s="516">
        <v>62.9</v>
      </c>
      <c r="N204" s="516">
        <v>44.1</v>
      </c>
      <c r="O204" s="516">
        <v>41.1</v>
      </c>
      <c r="P204" s="516">
        <v>47.5</v>
      </c>
      <c r="Q204" s="516">
        <v>44.6</v>
      </c>
      <c r="R204" s="138">
        <v>578.6</v>
      </c>
    </row>
    <row r="205" spans="1:18" x14ac:dyDescent="0.2">
      <c r="A205" t="s">
        <v>678</v>
      </c>
      <c r="B205" s="460">
        <v>348</v>
      </c>
      <c r="C205" s="460" t="s">
        <v>530</v>
      </c>
      <c r="D205" s="460" t="s">
        <v>679</v>
      </c>
      <c r="E205" t="s">
        <v>256</v>
      </c>
      <c r="F205" s="516">
        <v>88.7</v>
      </c>
      <c r="G205" s="516">
        <v>63.4</v>
      </c>
      <c r="H205" s="516">
        <v>77.8</v>
      </c>
      <c r="I205" s="516">
        <v>70.099999999999994</v>
      </c>
      <c r="J205" s="516">
        <v>80.2</v>
      </c>
      <c r="K205" s="516">
        <v>95.9</v>
      </c>
      <c r="L205" s="516">
        <v>101.8</v>
      </c>
      <c r="M205" s="516">
        <v>82.9</v>
      </c>
      <c r="N205" s="516">
        <v>70.5</v>
      </c>
      <c r="O205" s="516">
        <v>68.099999999999994</v>
      </c>
      <c r="P205" s="516">
        <v>86.4</v>
      </c>
      <c r="Q205" s="516">
        <v>98.2</v>
      </c>
      <c r="R205" s="138">
        <v>983.9</v>
      </c>
    </row>
    <row r="206" spans="1:18" x14ac:dyDescent="0.2">
      <c r="A206" t="s">
        <v>680</v>
      </c>
      <c r="B206" s="460">
        <v>153</v>
      </c>
      <c r="C206" s="460" t="s">
        <v>464</v>
      </c>
      <c r="D206" s="460" t="s">
        <v>470</v>
      </c>
      <c r="E206" t="s">
        <v>256</v>
      </c>
      <c r="F206" s="516">
        <v>90.7</v>
      </c>
      <c r="G206" s="516">
        <v>63.5</v>
      </c>
      <c r="H206" s="516">
        <v>81.5</v>
      </c>
      <c r="I206" s="516">
        <v>66.7</v>
      </c>
      <c r="J206" s="516">
        <v>79.900000000000006</v>
      </c>
      <c r="K206" s="516">
        <v>101.5</v>
      </c>
      <c r="L206" s="516">
        <v>98.9</v>
      </c>
      <c r="M206" s="516">
        <v>79.2</v>
      </c>
      <c r="N206" s="516">
        <v>76.599999999999994</v>
      </c>
      <c r="O206" s="516">
        <v>77.400000000000006</v>
      </c>
      <c r="P206" s="516">
        <v>92.2</v>
      </c>
      <c r="Q206" s="516">
        <v>100.2</v>
      </c>
      <c r="R206" s="138">
        <v>1008.2</v>
      </c>
    </row>
    <row r="207" spans="1:18" x14ac:dyDescent="0.2">
      <c r="A207" t="s">
        <v>681</v>
      </c>
      <c r="B207" s="460">
        <v>46</v>
      </c>
      <c r="C207" s="460" t="s">
        <v>682</v>
      </c>
      <c r="D207" s="460" t="s">
        <v>646</v>
      </c>
      <c r="E207" t="s">
        <v>256</v>
      </c>
      <c r="F207" s="516">
        <v>57.1</v>
      </c>
      <c r="G207" s="516">
        <v>42.6</v>
      </c>
      <c r="H207" s="516">
        <v>52.9</v>
      </c>
      <c r="I207" s="516">
        <v>51.5</v>
      </c>
      <c r="J207" s="516">
        <v>61.2</v>
      </c>
      <c r="K207" s="516">
        <v>80.2</v>
      </c>
      <c r="L207" s="516">
        <v>63.8</v>
      </c>
      <c r="M207" s="516">
        <v>68.099999999999994</v>
      </c>
      <c r="N207" s="516">
        <v>58.5</v>
      </c>
      <c r="O207" s="516">
        <v>46.3</v>
      </c>
      <c r="P207" s="516">
        <v>55.8</v>
      </c>
      <c r="Q207" s="516">
        <v>63.5</v>
      </c>
      <c r="R207" s="138">
        <v>701.5</v>
      </c>
    </row>
    <row r="208" spans="1:18" x14ac:dyDescent="0.2">
      <c r="A208" t="s">
        <v>683</v>
      </c>
      <c r="B208" s="460">
        <v>232</v>
      </c>
      <c r="C208" s="460" t="s">
        <v>684</v>
      </c>
      <c r="D208" s="460" t="s">
        <v>297</v>
      </c>
      <c r="E208" t="s">
        <v>256</v>
      </c>
      <c r="F208" s="516">
        <v>68.8</v>
      </c>
      <c r="G208" s="516">
        <v>52.2</v>
      </c>
      <c r="H208" s="516">
        <v>64.900000000000006</v>
      </c>
      <c r="I208" s="516">
        <v>63.2</v>
      </c>
      <c r="J208" s="516">
        <v>74.3</v>
      </c>
      <c r="K208" s="516">
        <v>96.1</v>
      </c>
      <c r="L208" s="516">
        <v>86.5</v>
      </c>
      <c r="M208" s="516">
        <v>74.099999999999994</v>
      </c>
      <c r="N208" s="516">
        <v>65.5</v>
      </c>
      <c r="O208" s="516">
        <v>57.9</v>
      </c>
      <c r="P208" s="516">
        <v>69.7</v>
      </c>
      <c r="Q208" s="516">
        <v>82</v>
      </c>
      <c r="R208" s="138">
        <v>855.3</v>
      </c>
    </row>
    <row r="209" spans="1:18" x14ac:dyDescent="0.2">
      <c r="A209" t="s">
        <v>685</v>
      </c>
      <c r="B209" s="460">
        <v>49</v>
      </c>
      <c r="C209" s="460" t="s">
        <v>686</v>
      </c>
      <c r="D209" s="460" t="s">
        <v>687</v>
      </c>
      <c r="E209" t="s">
        <v>256</v>
      </c>
      <c r="F209" s="516">
        <v>63.6</v>
      </c>
      <c r="G209" s="516">
        <v>50.7</v>
      </c>
      <c r="H209" s="516">
        <v>65.5</v>
      </c>
      <c r="I209" s="516">
        <v>50.1</v>
      </c>
      <c r="J209" s="516">
        <v>67.7</v>
      </c>
      <c r="K209" s="516">
        <v>76.8</v>
      </c>
      <c r="L209" s="516">
        <v>71.2</v>
      </c>
      <c r="M209" s="516">
        <v>61.1</v>
      </c>
      <c r="N209" s="516">
        <v>55</v>
      </c>
      <c r="O209" s="516">
        <v>53.3</v>
      </c>
      <c r="P209" s="516">
        <v>66.3</v>
      </c>
      <c r="Q209" s="516">
        <v>73.3</v>
      </c>
      <c r="R209" s="138">
        <v>754.6</v>
      </c>
    </row>
    <row r="210" spans="1:18" x14ac:dyDescent="0.2">
      <c r="A210" t="s">
        <v>685</v>
      </c>
      <c r="B210" s="460">
        <v>76.5</v>
      </c>
      <c r="C210" s="460" t="s">
        <v>577</v>
      </c>
      <c r="D210" s="460" t="s">
        <v>688</v>
      </c>
      <c r="E210" t="s">
        <v>256</v>
      </c>
      <c r="F210" s="516">
        <v>64.099999999999994</v>
      </c>
      <c r="G210" s="516">
        <v>49.2</v>
      </c>
      <c r="H210" s="516">
        <v>63.9</v>
      </c>
      <c r="I210" s="516">
        <v>50.5</v>
      </c>
      <c r="J210" s="516">
        <v>71.7</v>
      </c>
      <c r="K210" s="516">
        <v>80.3</v>
      </c>
      <c r="L210" s="516">
        <v>78.5</v>
      </c>
      <c r="M210" s="516">
        <v>63.2</v>
      </c>
      <c r="N210" s="516">
        <v>54.4</v>
      </c>
      <c r="O210" s="516">
        <v>54.2</v>
      </c>
      <c r="P210" s="516">
        <v>67.7</v>
      </c>
      <c r="Q210" s="516">
        <v>72.599999999999994</v>
      </c>
      <c r="R210" s="138">
        <v>770.4</v>
      </c>
    </row>
    <row r="211" spans="1:18" x14ac:dyDescent="0.2">
      <c r="A211" t="s">
        <v>689</v>
      </c>
      <c r="B211" s="460">
        <v>25</v>
      </c>
      <c r="C211" s="460" t="s">
        <v>348</v>
      </c>
      <c r="D211" s="460" t="s">
        <v>690</v>
      </c>
      <c r="E211" t="s">
        <v>256</v>
      </c>
      <c r="F211" s="516">
        <v>62.6</v>
      </c>
      <c r="G211" s="516">
        <v>46.4</v>
      </c>
      <c r="H211" s="516">
        <v>59.7</v>
      </c>
      <c r="I211" s="516">
        <v>49.2</v>
      </c>
      <c r="J211" s="516">
        <v>63.4</v>
      </c>
      <c r="K211" s="516">
        <v>81.099999999999994</v>
      </c>
      <c r="L211" s="516">
        <v>71.7</v>
      </c>
      <c r="M211" s="516">
        <v>60.2</v>
      </c>
      <c r="N211" s="516">
        <v>58.7</v>
      </c>
      <c r="O211" s="516">
        <v>50.8</v>
      </c>
      <c r="P211" s="516">
        <v>63.4</v>
      </c>
      <c r="Q211" s="516">
        <v>71.8</v>
      </c>
      <c r="R211" s="138">
        <v>739.1</v>
      </c>
    </row>
    <row r="212" spans="1:18" x14ac:dyDescent="0.2">
      <c r="A212" t="s">
        <v>691</v>
      </c>
      <c r="B212" s="460">
        <v>19</v>
      </c>
      <c r="C212" s="460" t="s">
        <v>345</v>
      </c>
      <c r="D212" s="460" t="s">
        <v>521</v>
      </c>
      <c r="E212" t="s">
        <v>256</v>
      </c>
      <c r="F212" s="516">
        <v>65.5</v>
      </c>
      <c r="G212" s="516">
        <v>48.2</v>
      </c>
      <c r="H212" s="516">
        <v>63.6</v>
      </c>
      <c r="I212" s="516">
        <v>54.3</v>
      </c>
      <c r="J212" s="516">
        <v>64.3</v>
      </c>
      <c r="K212" s="516">
        <v>77.900000000000006</v>
      </c>
      <c r="L212" s="516">
        <v>74.599999999999994</v>
      </c>
      <c r="M212" s="516">
        <v>61.7</v>
      </c>
      <c r="N212" s="516">
        <v>61.5</v>
      </c>
      <c r="O212" s="516">
        <v>54.2</v>
      </c>
      <c r="P212" s="516">
        <v>70</v>
      </c>
      <c r="Q212" s="516">
        <v>76.5</v>
      </c>
      <c r="R212" s="138">
        <v>772.3</v>
      </c>
    </row>
    <row r="213" spans="1:18" x14ac:dyDescent="0.2">
      <c r="A213" t="s">
        <v>692</v>
      </c>
      <c r="B213" s="460">
        <v>509</v>
      </c>
      <c r="C213" s="460" t="s">
        <v>693</v>
      </c>
      <c r="D213" s="460" t="s">
        <v>487</v>
      </c>
      <c r="E213" t="s">
        <v>256</v>
      </c>
      <c r="F213" s="516">
        <v>121.5</v>
      </c>
      <c r="G213" s="516">
        <v>94.8</v>
      </c>
      <c r="H213" s="516">
        <v>111.9</v>
      </c>
      <c r="I213" s="516">
        <v>92</v>
      </c>
      <c r="J213" s="516">
        <v>90</v>
      </c>
      <c r="K213" s="516">
        <v>87.5</v>
      </c>
      <c r="L213" s="516">
        <v>103.6</v>
      </c>
      <c r="M213" s="516">
        <v>89</v>
      </c>
      <c r="N213" s="516">
        <v>76.8</v>
      </c>
      <c r="O213" s="516">
        <v>92.3</v>
      </c>
      <c r="P213" s="516">
        <v>123.7</v>
      </c>
      <c r="Q213" s="516">
        <v>139.19999999999999</v>
      </c>
      <c r="R213" s="138">
        <v>1222.3</v>
      </c>
    </row>
    <row r="214" spans="1:18" x14ac:dyDescent="0.2">
      <c r="A214" t="s">
        <v>694</v>
      </c>
      <c r="B214" s="460">
        <v>530</v>
      </c>
      <c r="C214" s="460" t="s">
        <v>695</v>
      </c>
      <c r="D214" s="460" t="s">
        <v>365</v>
      </c>
      <c r="E214" t="s">
        <v>256</v>
      </c>
      <c r="F214" s="516">
        <v>141</v>
      </c>
      <c r="G214" s="516">
        <v>102.4</v>
      </c>
      <c r="H214" s="516">
        <v>127.2</v>
      </c>
      <c r="I214" s="516">
        <v>96</v>
      </c>
      <c r="J214" s="516">
        <v>101.8</v>
      </c>
      <c r="K214" s="516">
        <v>96.7</v>
      </c>
      <c r="L214" s="516">
        <v>133</v>
      </c>
      <c r="M214" s="516">
        <v>98</v>
      </c>
      <c r="N214" s="516">
        <v>87</v>
      </c>
      <c r="O214" s="516">
        <v>99.3</v>
      </c>
      <c r="P214" s="516">
        <v>141.80000000000001</v>
      </c>
      <c r="Q214" s="516">
        <v>161.69999999999999</v>
      </c>
      <c r="R214" s="138">
        <v>1386.1</v>
      </c>
    </row>
    <row r="215" spans="1:18" x14ac:dyDescent="0.2">
      <c r="A215" t="s">
        <v>696</v>
      </c>
      <c r="B215" s="460">
        <v>220</v>
      </c>
      <c r="C215" s="460" t="s">
        <v>556</v>
      </c>
      <c r="D215" s="460" t="s">
        <v>583</v>
      </c>
      <c r="E215" t="s">
        <v>256</v>
      </c>
      <c r="F215" s="516">
        <v>118.2</v>
      </c>
      <c r="G215" s="516">
        <v>88.2</v>
      </c>
      <c r="H215" s="516">
        <v>103.4</v>
      </c>
      <c r="I215" s="516">
        <v>82.3</v>
      </c>
      <c r="J215" s="516">
        <v>77.7</v>
      </c>
      <c r="K215" s="516">
        <v>96.6</v>
      </c>
      <c r="L215" s="516">
        <v>99.1</v>
      </c>
      <c r="M215" s="516">
        <v>90.8</v>
      </c>
      <c r="N215" s="516">
        <v>83.1</v>
      </c>
      <c r="O215" s="516">
        <v>85.8</v>
      </c>
      <c r="P215" s="516">
        <v>110</v>
      </c>
      <c r="Q215" s="516">
        <v>140</v>
      </c>
      <c r="R215" s="138">
        <v>1175.2</v>
      </c>
    </row>
    <row r="216" spans="1:18" x14ac:dyDescent="0.2">
      <c r="A216" t="s">
        <v>697</v>
      </c>
      <c r="B216" s="460">
        <v>62</v>
      </c>
      <c r="C216" s="460" t="s">
        <v>396</v>
      </c>
      <c r="D216" s="460" t="s">
        <v>507</v>
      </c>
      <c r="E216" t="s">
        <v>256</v>
      </c>
      <c r="F216" s="516">
        <v>66.3</v>
      </c>
      <c r="G216" s="516">
        <v>45.3</v>
      </c>
      <c r="H216" s="516">
        <v>60.7</v>
      </c>
      <c r="I216" s="516">
        <v>51.7</v>
      </c>
      <c r="J216" s="516">
        <v>64</v>
      </c>
      <c r="K216" s="516">
        <v>73.900000000000006</v>
      </c>
      <c r="L216" s="516">
        <v>68.7</v>
      </c>
      <c r="M216" s="516">
        <v>65.3</v>
      </c>
      <c r="N216" s="516">
        <v>62.1</v>
      </c>
      <c r="O216" s="516">
        <v>54.3</v>
      </c>
      <c r="P216" s="516">
        <v>68.099999999999994</v>
      </c>
      <c r="Q216" s="516">
        <v>76.3</v>
      </c>
      <c r="R216" s="138">
        <v>756.8</v>
      </c>
    </row>
    <row r="217" spans="1:18" x14ac:dyDescent="0.2">
      <c r="A217" t="s">
        <v>698</v>
      </c>
      <c r="B217" s="460">
        <v>57</v>
      </c>
      <c r="C217" s="460" t="s">
        <v>330</v>
      </c>
      <c r="D217" s="460" t="s">
        <v>303</v>
      </c>
      <c r="E217" t="s">
        <v>256</v>
      </c>
      <c r="F217" s="516">
        <v>64.8</v>
      </c>
      <c r="G217" s="516">
        <v>47.9</v>
      </c>
      <c r="H217" s="516">
        <v>58.6</v>
      </c>
      <c r="I217" s="516">
        <v>51.2</v>
      </c>
      <c r="J217" s="516">
        <v>61.3</v>
      </c>
      <c r="K217" s="516">
        <v>71.099999999999994</v>
      </c>
      <c r="L217" s="516">
        <v>67.8</v>
      </c>
      <c r="M217" s="516">
        <v>62.3</v>
      </c>
      <c r="N217" s="516">
        <v>59.5</v>
      </c>
      <c r="O217" s="516">
        <v>52.4</v>
      </c>
      <c r="P217" s="516">
        <v>68.7</v>
      </c>
      <c r="Q217" s="516">
        <v>76.400000000000006</v>
      </c>
      <c r="R217" s="138">
        <v>742.3</v>
      </c>
    </row>
    <row r="218" spans="1:18" x14ac:dyDescent="0.2">
      <c r="A218" t="s">
        <v>699</v>
      </c>
      <c r="B218" s="460">
        <v>320</v>
      </c>
      <c r="C218" s="460" t="s">
        <v>700</v>
      </c>
      <c r="D218" s="460" t="s">
        <v>433</v>
      </c>
      <c r="E218" t="s">
        <v>256</v>
      </c>
      <c r="F218" s="516">
        <v>48.8</v>
      </c>
      <c r="G218" s="516">
        <v>48.8</v>
      </c>
      <c r="H218" s="516">
        <v>53.7</v>
      </c>
      <c r="I218" s="516">
        <v>57</v>
      </c>
      <c r="J218" s="516">
        <v>63.6</v>
      </c>
      <c r="K218" s="516">
        <v>66</v>
      </c>
      <c r="L218" s="516">
        <v>66.3</v>
      </c>
      <c r="M218" s="516">
        <v>65.400000000000006</v>
      </c>
      <c r="N218" s="516">
        <v>49.5</v>
      </c>
      <c r="O218" s="516">
        <v>47.3</v>
      </c>
      <c r="P218" s="516">
        <v>57.8</v>
      </c>
      <c r="Q218" s="516">
        <v>54.1</v>
      </c>
      <c r="R218" s="138">
        <v>678.4</v>
      </c>
    </row>
    <row r="219" spans="1:18" x14ac:dyDescent="0.2">
      <c r="A219" t="s">
        <v>701</v>
      </c>
      <c r="B219" s="460">
        <v>348</v>
      </c>
      <c r="C219" s="460" t="s">
        <v>700</v>
      </c>
      <c r="D219" s="460" t="s">
        <v>388</v>
      </c>
      <c r="E219" t="s">
        <v>256</v>
      </c>
      <c r="F219" s="516">
        <v>48.2</v>
      </c>
      <c r="G219" s="516">
        <v>41.9</v>
      </c>
      <c r="H219" s="516">
        <v>52.9</v>
      </c>
      <c r="I219" s="516">
        <v>56.4</v>
      </c>
      <c r="J219" s="516">
        <v>69</v>
      </c>
      <c r="K219" s="516">
        <v>66</v>
      </c>
      <c r="L219" s="516">
        <v>70.8</v>
      </c>
      <c r="M219" s="516">
        <v>63.8</v>
      </c>
      <c r="N219" s="516">
        <v>54.9</v>
      </c>
      <c r="O219" s="516">
        <v>46.9</v>
      </c>
      <c r="P219" s="516">
        <v>54.9</v>
      </c>
      <c r="Q219" s="516">
        <v>51.7</v>
      </c>
      <c r="R219" s="138">
        <v>677.4</v>
      </c>
    </row>
    <row r="220" spans="1:18" x14ac:dyDescent="0.2">
      <c r="A220" t="s">
        <v>702</v>
      </c>
      <c r="B220" s="460">
        <v>216</v>
      </c>
      <c r="C220" s="460" t="s">
        <v>703</v>
      </c>
      <c r="D220" s="460" t="s">
        <v>704</v>
      </c>
      <c r="E220" t="s">
        <v>256</v>
      </c>
      <c r="F220" s="516">
        <v>74.5</v>
      </c>
      <c r="G220" s="516">
        <v>50.4</v>
      </c>
      <c r="H220" s="516">
        <v>64.2</v>
      </c>
      <c r="I220" s="516">
        <v>60.9</v>
      </c>
      <c r="J220" s="516">
        <v>67.8</v>
      </c>
      <c r="K220" s="516">
        <v>83.7</v>
      </c>
      <c r="L220" s="516">
        <v>81.8</v>
      </c>
      <c r="M220" s="516">
        <v>71.7</v>
      </c>
      <c r="N220" s="516">
        <v>61.7</v>
      </c>
      <c r="O220" s="516">
        <v>58.2</v>
      </c>
      <c r="P220" s="516">
        <v>69.5</v>
      </c>
      <c r="Q220" s="516">
        <v>81.3</v>
      </c>
      <c r="R220" s="138">
        <v>825.6</v>
      </c>
    </row>
    <row r="221" spans="1:18" x14ac:dyDescent="0.2">
      <c r="A221" t="s">
        <v>705</v>
      </c>
      <c r="B221" s="460">
        <v>610</v>
      </c>
      <c r="C221" s="460" t="s">
        <v>480</v>
      </c>
      <c r="D221" s="460" t="s">
        <v>460</v>
      </c>
      <c r="E221" t="s">
        <v>256</v>
      </c>
      <c r="F221" s="516">
        <v>107.1</v>
      </c>
      <c r="G221" s="516">
        <v>72.900000000000006</v>
      </c>
      <c r="H221" s="516">
        <v>90.2</v>
      </c>
      <c r="I221" s="516">
        <v>76.099999999999994</v>
      </c>
      <c r="J221" s="516">
        <v>85.6</v>
      </c>
      <c r="K221" s="516">
        <v>94.7</v>
      </c>
      <c r="L221" s="516">
        <v>109</v>
      </c>
      <c r="M221" s="516">
        <v>91.5</v>
      </c>
      <c r="N221" s="516">
        <v>84.8</v>
      </c>
      <c r="O221" s="516">
        <v>84.2</v>
      </c>
      <c r="P221" s="516">
        <v>106.8</v>
      </c>
      <c r="Q221" s="516">
        <v>124.7</v>
      </c>
      <c r="R221" s="138">
        <v>1127.7</v>
      </c>
    </row>
    <row r="222" spans="1:18" x14ac:dyDescent="0.2">
      <c r="A222" t="s">
        <v>706</v>
      </c>
      <c r="B222" s="460">
        <v>395</v>
      </c>
      <c r="C222" s="460" t="s">
        <v>556</v>
      </c>
      <c r="D222" s="460" t="s">
        <v>707</v>
      </c>
      <c r="E222" t="s">
        <v>256</v>
      </c>
      <c r="F222" s="516">
        <v>113.6</v>
      </c>
      <c r="G222" s="516">
        <v>83.8</v>
      </c>
      <c r="H222" s="516">
        <v>95.3</v>
      </c>
      <c r="I222" s="516">
        <v>75.400000000000006</v>
      </c>
      <c r="J222" s="516">
        <v>81.7</v>
      </c>
      <c r="K222" s="516">
        <v>92.8</v>
      </c>
      <c r="L222" s="516">
        <v>98</v>
      </c>
      <c r="M222" s="516">
        <v>86.4</v>
      </c>
      <c r="N222" s="516">
        <v>80.2</v>
      </c>
      <c r="O222" s="516">
        <v>79.599999999999994</v>
      </c>
      <c r="P222" s="516">
        <v>104.5</v>
      </c>
      <c r="Q222" s="516">
        <v>126.1</v>
      </c>
      <c r="R222" s="138">
        <v>1117.3</v>
      </c>
    </row>
    <row r="223" spans="1:18" x14ac:dyDescent="0.2">
      <c r="A223" t="s">
        <v>708</v>
      </c>
      <c r="B223" s="460">
        <v>53</v>
      </c>
      <c r="C223" s="460" t="s">
        <v>373</v>
      </c>
      <c r="D223" s="460" t="s">
        <v>458</v>
      </c>
      <c r="E223" t="s">
        <v>256</v>
      </c>
      <c r="F223" s="516">
        <v>63.8</v>
      </c>
      <c r="G223" s="516">
        <v>49.2</v>
      </c>
      <c r="H223" s="516">
        <v>62.8</v>
      </c>
      <c r="I223" s="516">
        <v>52</v>
      </c>
      <c r="J223" s="516">
        <v>67.8</v>
      </c>
      <c r="K223" s="516">
        <v>79.7</v>
      </c>
      <c r="L223" s="516">
        <v>72.2</v>
      </c>
      <c r="M223" s="516">
        <v>63.5</v>
      </c>
      <c r="N223" s="516">
        <v>55.5</v>
      </c>
      <c r="O223" s="516">
        <v>53.7</v>
      </c>
      <c r="P223" s="516">
        <v>66.2</v>
      </c>
      <c r="Q223" s="516">
        <v>71.8</v>
      </c>
      <c r="R223" s="138">
        <v>758.2</v>
      </c>
    </row>
    <row r="224" spans="1:18" x14ac:dyDescent="0.2">
      <c r="A224" t="s">
        <v>709</v>
      </c>
      <c r="B224" s="460">
        <v>339</v>
      </c>
      <c r="C224" s="460" t="s">
        <v>272</v>
      </c>
      <c r="D224" s="460" t="s">
        <v>710</v>
      </c>
      <c r="E224" t="s">
        <v>256</v>
      </c>
      <c r="F224" s="516">
        <v>119.5</v>
      </c>
      <c r="G224" s="516">
        <v>84.9</v>
      </c>
      <c r="H224" s="516">
        <v>104.3</v>
      </c>
      <c r="I224" s="516">
        <v>91.3</v>
      </c>
      <c r="J224" s="516">
        <v>88.1</v>
      </c>
      <c r="K224" s="516">
        <v>106.7</v>
      </c>
      <c r="L224" s="516">
        <v>111.8</v>
      </c>
      <c r="M224" s="516">
        <v>80.8</v>
      </c>
      <c r="N224" s="516">
        <v>89.3</v>
      </c>
      <c r="O224" s="516">
        <v>89.6</v>
      </c>
      <c r="P224" s="516">
        <v>109.6</v>
      </c>
      <c r="Q224" s="516">
        <v>128.80000000000001</v>
      </c>
      <c r="R224" s="138">
        <v>1204.9000000000001</v>
      </c>
    </row>
    <row r="225" spans="1:18" x14ac:dyDescent="0.2">
      <c r="A225" t="s">
        <v>711</v>
      </c>
      <c r="B225" s="460">
        <v>185</v>
      </c>
      <c r="C225" s="460" t="s">
        <v>611</v>
      </c>
      <c r="D225" s="460" t="s">
        <v>337</v>
      </c>
      <c r="E225" t="s">
        <v>256</v>
      </c>
      <c r="F225" s="516">
        <v>87.5</v>
      </c>
      <c r="G225" s="516">
        <v>62.3</v>
      </c>
      <c r="H225" s="516">
        <v>85</v>
      </c>
      <c r="I225" s="516">
        <v>68.8</v>
      </c>
      <c r="J225" s="516">
        <v>78.900000000000006</v>
      </c>
      <c r="K225" s="516">
        <v>97.2</v>
      </c>
      <c r="L225" s="516">
        <v>100.8</v>
      </c>
      <c r="M225" s="516">
        <v>84.6</v>
      </c>
      <c r="N225" s="516">
        <v>77</v>
      </c>
      <c r="O225" s="516">
        <v>74.900000000000006</v>
      </c>
      <c r="P225" s="516">
        <v>90.1</v>
      </c>
      <c r="Q225" s="516">
        <v>98.2</v>
      </c>
      <c r="R225" s="138">
        <v>1005.3</v>
      </c>
    </row>
    <row r="226" spans="1:18" x14ac:dyDescent="0.2">
      <c r="A226" t="s">
        <v>712</v>
      </c>
      <c r="B226" s="460">
        <v>350</v>
      </c>
      <c r="C226" s="460" t="s">
        <v>254</v>
      </c>
      <c r="D226" s="460" t="s">
        <v>478</v>
      </c>
      <c r="E226" t="s">
        <v>256</v>
      </c>
      <c r="F226" s="516">
        <v>100.3</v>
      </c>
      <c r="G226" s="516">
        <v>74</v>
      </c>
      <c r="H226" s="516">
        <v>90.4</v>
      </c>
      <c r="I226" s="516">
        <v>74.7</v>
      </c>
      <c r="J226" s="516">
        <v>76</v>
      </c>
      <c r="K226" s="516">
        <v>89.9</v>
      </c>
      <c r="L226" s="516">
        <v>94.5</v>
      </c>
      <c r="M226" s="516">
        <v>81.3</v>
      </c>
      <c r="N226" s="516">
        <v>74.900000000000006</v>
      </c>
      <c r="O226" s="516">
        <v>74.7</v>
      </c>
      <c r="P226" s="516">
        <v>96</v>
      </c>
      <c r="Q226" s="516">
        <v>114.2</v>
      </c>
      <c r="R226" s="138">
        <v>1040.8</v>
      </c>
    </row>
    <row r="227" spans="1:18" x14ac:dyDescent="0.2">
      <c r="A227" t="s">
        <v>713</v>
      </c>
      <c r="B227" s="460">
        <v>39</v>
      </c>
      <c r="C227" s="460" t="s">
        <v>686</v>
      </c>
      <c r="D227" s="460" t="s">
        <v>714</v>
      </c>
      <c r="E227" t="s">
        <v>256</v>
      </c>
      <c r="F227" s="516">
        <v>62.7</v>
      </c>
      <c r="G227" s="516">
        <v>46.6</v>
      </c>
      <c r="H227" s="516">
        <v>62.3</v>
      </c>
      <c r="I227" s="516">
        <v>51.2</v>
      </c>
      <c r="J227" s="516">
        <v>68</v>
      </c>
      <c r="K227" s="516">
        <v>79.7</v>
      </c>
      <c r="L227" s="516">
        <v>78.099999999999994</v>
      </c>
      <c r="M227" s="516">
        <v>62.6</v>
      </c>
      <c r="N227" s="516">
        <v>57.7</v>
      </c>
      <c r="O227" s="516">
        <v>55.5</v>
      </c>
      <c r="P227" s="516">
        <v>68.599999999999994</v>
      </c>
      <c r="Q227" s="516">
        <v>72.3</v>
      </c>
      <c r="R227" s="138">
        <v>765.2</v>
      </c>
    </row>
    <row r="228" spans="1:18" x14ac:dyDescent="0.2">
      <c r="A228" t="s">
        <v>715</v>
      </c>
      <c r="B228" s="460">
        <v>230</v>
      </c>
      <c r="C228" s="460" t="s">
        <v>293</v>
      </c>
      <c r="D228" s="460" t="s">
        <v>704</v>
      </c>
      <c r="E228" t="s">
        <v>256</v>
      </c>
      <c r="F228" s="516">
        <v>86.9</v>
      </c>
      <c r="G228" s="516">
        <v>61</v>
      </c>
      <c r="H228" s="516">
        <v>72.3</v>
      </c>
      <c r="I228" s="516">
        <v>64.3</v>
      </c>
      <c r="J228" s="516">
        <v>78.400000000000006</v>
      </c>
      <c r="K228" s="516">
        <v>83.7</v>
      </c>
      <c r="L228" s="516">
        <v>77.400000000000006</v>
      </c>
      <c r="M228" s="516">
        <v>79.5</v>
      </c>
      <c r="N228" s="516">
        <v>64.7</v>
      </c>
      <c r="O228" s="516">
        <v>58.1</v>
      </c>
      <c r="P228" s="516">
        <v>82.5</v>
      </c>
      <c r="Q228" s="516">
        <v>99.6</v>
      </c>
      <c r="R228" s="138">
        <v>908.4</v>
      </c>
    </row>
    <row r="229" spans="1:18" x14ac:dyDescent="0.2">
      <c r="A229" t="s">
        <v>716</v>
      </c>
      <c r="B229" s="460">
        <v>61</v>
      </c>
      <c r="C229" s="460" t="s">
        <v>422</v>
      </c>
      <c r="D229" s="460" t="s">
        <v>660</v>
      </c>
      <c r="E229" t="s">
        <v>256</v>
      </c>
      <c r="F229" s="516">
        <v>70.099999999999994</v>
      </c>
      <c r="G229" s="516">
        <v>53.9</v>
      </c>
      <c r="H229" s="516">
        <v>66.7</v>
      </c>
      <c r="I229" s="516">
        <v>56.9</v>
      </c>
      <c r="J229" s="516">
        <v>69.900000000000006</v>
      </c>
      <c r="K229" s="516">
        <v>89</v>
      </c>
      <c r="L229" s="516">
        <v>80.099999999999994</v>
      </c>
      <c r="M229" s="516">
        <v>64.2</v>
      </c>
      <c r="N229" s="516">
        <v>66.7</v>
      </c>
      <c r="O229" s="516">
        <v>55.9</v>
      </c>
      <c r="P229" s="516">
        <v>73.7</v>
      </c>
      <c r="Q229" s="516">
        <v>81.2</v>
      </c>
      <c r="R229" s="138">
        <v>828.4</v>
      </c>
    </row>
    <row r="230" spans="1:18" x14ac:dyDescent="0.2">
      <c r="A230" t="s">
        <v>717</v>
      </c>
      <c r="B230" s="460">
        <v>96</v>
      </c>
      <c r="C230" s="460" t="s">
        <v>334</v>
      </c>
      <c r="D230" s="460" t="s">
        <v>547</v>
      </c>
      <c r="E230" t="s">
        <v>256</v>
      </c>
      <c r="F230" s="516">
        <v>78.900000000000006</v>
      </c>
      <c r="G230" s="516">
        <v>56.1</v>
      </c>
      <c r="H230" s="516">
        <v>66.900000000000006</v>
      </c>
      <c r="I230" s="516">
        <v>56.7</v>
      </c>
      <c r="J230" s="516">
        <v>66.400000000000006</v>
      </c>
      <c r="K230" s="516">
        <v>78.599999999999994</v>
      </c>
      <c r="L230" s="516">
        <v>77.8</v>
      </c>
      <c r="M230" s="516">
        <v>68.2</v>
      </c>
      <c r="N230" s="516">
        <v>64.599999999999994</v>
      </c>
      <c r="O230" s="516">
        <v>60.5</v>
      </c>
      <c r="P230" s="516">
        <v>78.2</v>
      </c>
      <c r="Q230" s="516">
        <v>92.3</v>
      </c>
      <c r="R230" s="138">
        <v>845.1</v>
      </c>
    </row>
    <row r="231" spans="1:18" x14ac:dyDescent="0.2">
      <c r="A231" t="s">
        <v>718</v>
      </c>
      <c r="B231" s="460">
        <v>33</v>
      </c>
      <c r="C231" s="460" t="s">
        <v>684</v>
      </c>
      <c r="D231" s="460" t="s">
        <v>436</v>
      </c>
      <c r="E231" t="s">
        <v>256</v>
      </c>
      <c r="F231" s="516">
        <v>71.8</v>
      </c>
      <c r="G231" s="516">
        <v>53</v>
      </c>
      <c r="H231" s="516">
        <v>68</v>
      </c>
      <c r="I231" s="516">
        <v>54.9</v>
      </c>
      <c r="J231" s="516">
        <v>73</v>
      </c>
      <c r="K231" s="516">
        <v>85.4</v>
      </c>
      <c r="L231" s="516">
        <v>79.099999999999994</v>
      </c>
      <c r="M231" s="516">
        <v>68.599999999999994</v>
      </c>
      <c r="N231" s="516">
        <v>69.7</v>
      </c>
      <c r="O231" s="516">
        <v>60.9</v>
      </c>
      <c r="P231" s="516">
        <v>73.900000000000006</v>
      </c>
      <c r="Q231" s="516">
        <v>79.400000000000006</v>
      </c>
      <c r="R231" s="138">
        <v>837.7</v>
      </c>
    </row>
    <row r="232" spans="1:18" x14ac:dyDescent="0.2">
      <c r="A232" t="s">
        <v>719</v>
      </c>
      <c r="B232" s="460">
        <v>33</v>
      </c>
      <c r="C232" s="460" t="s">
        <v>720</v>
      </c>
      <c r="D232" s="460" t="s">
        <v>456</v>
      </c>
      <c r="E232" t="s">
        <v>256</v>
      </c>
      <c r="F232" s="516">
        <v>65.5</v>
      </c>
      <c r="G232" s="516">
        <v>44.3</v>
      </c>
      <c r="H232" s="516">
        <v>59.3</v>
      </c>
      <c r="I232" s="516">
        <v>57.3</v>
      </c>
      <c r="J232" s="516">
        <v>72</v>
      </c>
      <c r="K232" s="516">
        <v>79.5</v>
      </c>
      <c r="L232" s="516">
        <v>75.2</v>
      </c>
      <c r="M232" s="516">
        <v>65.099999999999994</v>
      </c>
      <c r="N232" s="516">
        <v>61.1</v>
      </c>
      <c r="O232" s="516">
        <v>57</v>
      </c>
      <c r="P232" s="516">
        <v>74.8</v>
      </c>
      <c r="Q232" s="516">
        <v>73.3</v>
      </c>
      <c r="R232" s="138">
        <v>784.4</v>
      </c>
    </row>
    <row r="233" spans="1:18" x14ac:dyDescent="0.2">
      <c r="A233" t="s">
        <v>721</v>
      </c>
      <c r="B233" s="460">
        <v>56</v>
      </c>
      <c r="C233" s="460" t="s">
        <v>500</v>
      </c>
      <c r="D233" s="460" t="s">
        <v>525</v>
      </c>
      <c r="E233" t="s">
        <v>256</v>
      </c>
      <c r="F233" s="516">
        <v>67.099999999999994</v>
      </c>
      <c r="G233" s="516">
        <v>46.1</v>
      </c>
      <c r="H233" s="516">
        <v>60.6</v>
      </c>
      <c r="I233" s="516">
        <v>48.5</v>
      </c>
      <c r="J233" s="516">
        <v>60.8</v>
      </c>
      <c r="K233" s="516">
        <v>75.599999999999994</v>
      </c>
      <c r="L233" s="516">
        <v>69.7</v>
      </c>
      <c r="M233" s="516">
        <v>60.4</v>
      </c>
      <c r="N233" s="516">
        <v>61</v>
      </c>
      <c r="O233" s="516">
        <v>55.9</v>
      </c>
      <c r="P233" s="516">
        <v>71.099999999999994</v>
      </c>
      <c r="Q233" s="516">
        <v>73.7</v>
      </c>
      <c r="R233" s="138">
        <v>750.4</v>
      </c>
    </row>
    <row r="234" spans="1:18" x14ac:dyDescent="0.2">
      <c r="A234" t="s">
        <v>722</v>
      </c>
      <c r="B234" s="460">
        <v>81</v>
      </c>
      <c r="C234" s="460" t="s">
        <v>305</v>
      </c>
      <c r="D234" s="460" t="s">
        <v>300</v>
      </c>
      <c r="E234" t="s">
        <v>256</v>
      </c>
      <c r="F234" s="516">
        <v>83.9</v>
      </c>
      <c r="G234" s="516">
        <v>60.4</v>
      </c>
      <c r="H234" s="516">
        <v>81.099999999999994</v>
      </c>
      <c r="I234" s="516">
        <v>66.7</v>
      </c>
      <c r="J234" s="516">
        <v>79.599999999999994</v>
      </c>
      <c r="K234" s="516">
        <v>93.5</v>
      </c>
      <c r="L234" s="516">
        <v>97</v>
      </c>
      <c r="M234" s="516">
        <v>82.9</v>
      </c>
      <c r="N234" s="516">
        <v>73.900000000000006</v>
      </c>
      <c r="O234" s="516">
        <v>71.8</v>
      </c>
      <c r="P234" s="516">
        <v>82.1</v>
      </c>
      <c r="Q234" s="516">
        <v>93.6</v>
      </c>
      <c r="R234" s="138">
        <v>966.4</v>
      </c>
    </row>
    <row r="235" spans="1:18" x14ac:dyDescent="0.2">
      <c r="A235" t="s">
        <v>723</v>
      </c>
      <c r="B235" s="460">
        <v>95</v>
      </c>
      <c r="C235" s="460" t="s">
        <v>342</v>
      </c>
      <c r="D235" s="460" t="s">
        <v>465</v>
      </c>
      <c r="E235" t="s">
        <v>256</v>
      </c>
      <c r="F235" s="516">
        <v>68.900000000000006</v>
      </c>
      <c r="G235" s="516">
        <v>51.4</v>
      </c>
      <c r="H235" s="516">
        <v>66</v>
      </c>
      <c r="I235" s="516">
        <v>61.3</v>
      </c>
      <c r="J235" s="516">
        <v>69.7</v>
      </c>
      <c r="K235" s="516">
        <v>71.2</v>
      </c>
      <c r="L235" s="516">
        <v>78.2</v>
      </c>
      <c r="M235" s="516">
        <v>67.900000000000006</v>
      </c>
      <c r="N235" s="516">
        <v>65.400000000000006</v>
      </c>
      <c r="O235" s="516">
        <v>51.9</v>
      </c>
      <c r="P235" s="516">
        <v>68.900000000000006</v>
      </c>
      <c r="Q235" s="516">
        <v>76.7</v>
      </c>
      <c r="R235" s="138">
        <v>797.5</v>
      </c>
    </row>
    <row r="236" spans="1:18" x14ac:dyDescent="0.2">
      <c r="A236" t="s">
        <v>724</v>
      </c>
      <c r="B236" s="460">
        <v>180</v>
      </c>
      <c r="C236" s="460" t="s">
        <v>703</v>
      </c>
      <c r="D236" s="460" t="s">
        <v>379</v>
      </c>
      <c r="E236" t="s">
        <v>256</v>
      </c>
      <c r="F236" s="516">
        <v>98.1</v>
      </c>
      <c r="G236" s="516">
        <v>65.8</v>
      </c>
      <c r="H236" s="516">
        <v>81.8</v>
      </c>
      <c r="I236" s="516">
        <v>73.3</v>
      </c>
      <c r="J236" s="516">
        <v>85.3</v>
      </c>
      <c r="K236" s="516">
        <v>90.3</v>
      </c>
      <c r="L236" s="516">
        <v>95</v>
      </c>
      <c r="M236" s="516">
        <v>83.2</v>
      </c>
      <c r="N236" s="516">
        <v>80.3</v>
      </c>
      <c r="O236" s="516">
        <v>68.900000000000006</v>
      </c>
      <c r="P236" s="516">
        <v>97.3</v>
      </c>
      <c r="Q236" s="516">
        <v>106.7</v>
      </c>
      <c r="R236" s="138">
        <v>1026</v>
      </c>
    </row>
    <row r="237" spans="1:18" x14ac:dyDescent="0.2">
      <c r="A237" t="s">
        <v>725</v>
      </c>
      <c r="B237" s="460">
        <v>70</v>
      </c>
      <c r="C237" s="460" t="s">
        <v>500</v>
      </c>
      <c r="D237" s="460" t="s">
        <v>726</v>
      </c>
      <c r="E237" t="s">
        <v>256</v>
      </c>
      <c r="F237" s="516">
        <v>61.3</v>
      </c>
      <c r="G237" s="516">
        <v>45.7</v>
      </c>
      <c r="H237" s="516">
        <v>57.7</v>
      </c>
      <c r="I237" s="516">
        <v>52.2</v>
      </c>
      <c r="J237" s="516">
        <v>62.4</v>
      </c>
      <c r="K237" s="516">
        <v>73.900000000000006</v>
      </c>
      <c r="L237" s="516">
        <v>66.099999999999994</v>
      </c>
      <c r="M237" s="516">
        <v>65.5</v>
      </c>
      <c r="N237" s="516">
        <v>60.9</v>
      </c>
      <c r="O237" s="516">
        <v>46.7</v>
      </c>
      <c r="P237" s="516">
        <v>61.5</v>
      </c>
      <c r="Q237" s="516">
        <v>71.099999999999994</v>
      </c>
      <c r="R237" s="138">
        <v>724.8</v>
      </c>
    </row>
    <row r="238" spans="1:18" x14ac:dyDescent="0.2">
      <c r="A238" t="s">
        <v>727</v>
      </c>
      <c r="B238" s="460">
        <v>48.5</v>
      </c>
      <c r="C238" s="460" t="s">
        <v>367</v>
      </c>
      <c r="D238" s="460" t="s">
        <v>728</v>
      </c>
      <c r="E238" t="s">
        <v>256</v>
      </c>
      <c r="F238" s="516">
        <v>68.3</v>
      </c>
      <c r="G238" s="516">
        <v>51</v>
      </c>
      <c r="H238" s="516">
        <v>67.7</v>
      </c>
      <c r="I238" s="516">
        <v>56</v>
      </c>
      <c r="J238" s="516">
        <v>63.2</v>
      </c>
      <c r="K238" s="516">
        <v>84.3</v>
      </c>
      <c r="L238" s="516">
        <v>75.400000000000006</v>
      </c>
      <c r="M238" s="516">
        <v>68.7</v>
      </c>
      <c r="N238" s="516">
        <v>67.900000000000006</v>
      </c>
      <c r="O238" s="516">
        <v>54.3</v>
      </c>
      <c r="P238" s="516">
        <v>73.900000000000006</v>
      </c>
      <c r="Q238" s="516">
        <v>83</v>
      </c>
      <c r="R238" s="138">
        <v>813.7</v>
      </c>
    </row>
    <row r="239" spans="1:18" x14ac:dyDescent="0.2">
      <c r="A239" t="s">
        <v>729</v>
      </c>
      <c r="B239" s="460">
        <v>305</v>
      </c>
      <c r="C239" s="460" t="s">
        <v>305</v>
      </c>
      <c r="D239" s="460" t="s">
        <v>730</v>
      </c>
      <c r="E239" t="s">
        <v>256</v>
      </c>
      <c r="F239" s="516">
        <v>123.3</v>
      </c>
      <c r="G239" s="516">
        <v>83.3</v>
      </c>
      <c r="H239" s="516">
        <v>107.5</v>
      </c>
      <c r="I239" s="516">
        <v>77.5</v>
      </c>
      <c r="J239" s="516">
        <v>80.3</v>
      </c>
      <c r="K239" s="516">
        <v>94.3</v>
      </c>
      <c r="L239" s="516">
        <v>98.9</v>
      </c>
      <c r="M239" s="516">
        <v>83.9</v>
      </c>
      <c r="N239" s="516">
        <v>87.7</v>
      </c>
      <c r="O239" s="516">
        <v>88.3</v>
      </c>
      <c r="P239" s="516">
        <v>115.5</v>
      </c>
      <c r="Q239" s="516">
        <v>140.1</v>
      </c>
      <c r="R239" s="138">
        <v>1180.5999999999999</v>
      </c>
    </row>
    <row r="240" spans="1:18" x14ac:dyDescent="0.2">
      <c r="A240" t="s">
        <v>731</v>
      </c>
      <c r="B240" s="460">
        <v>413</v>
      </c>
      <c r="C240" s="460" t="s">
        <v>511</v>
      </c>
      <c r="D240" s="460" t="s">
        <v>313</v>
      </c>
      <c r="E240" t="s">
        <v>256</v>
      </c>
      <c r="F240" s="516">
        <v>112.2</v>
      </c>
      <c r="G240" s="516">
        <v>78.7</v>
      </c>
      <c r="H240" s="516">
        <v>94.4</v>
      </c>
      <c r="I240" s="516">
        <v>83.2</v>
      </c>
      <c r="J240" s="516">
        <v>88.4</v>
      </c>
      <c r="K240" s="516">
        <v>103.3</v>
      </c>
      <c r="L240" s="516">
        <v>102.4</v>
      </c>
      <c r="M240" s="516">
        <v>87.2</v>
      </c>
      <c r="N240" s="516">
        <v>78.599999999999994</v>
      </c>
      <c r="O240" s="516">
        <v>82.1</v>
      </c>
      <c r="P240" s="516">
        <v>106.3</v>
      </c>
      <c r="Q240" s="516">
        <v>124.5</v>
      </c>
      <c r="R240" s="138">
        <v>1141.3</v>
      </c>
    </row>
    <row r="241" spans="1:18" x14ac:dyDescent="0.2">
      <c r="A241" t="s">
        <v>732</v>
      </c>
      <c r="B241" s="460">
        <v>110</v>
      </c>
      <c r="C241" s="460" t="s">
        <v>299</v>
      </c>
      <c r="D241" s="460" t="s">
        <v>614</v>
      </c>
      <c r="E241" t="s">
        <v>256</v>
      </c>
      <c r="F241" s="516">
        <v>94.9</v>
      </c>
      <c r="G241" s="516">
        <v>67</v>
      </c>
      <c r="H241" s="516">
        <v>91.5</v>
      </c>
      <c r="I241" s="516">
        <v>73.599999999999994</v>
      </c>
      <c r="J241" s="516">
        <v>79.3</v>
      </c>
      <c r="K241" s="516">
        <v>95.2</v>
      </c>
      <c r="L241" s="516">
        <v>99.6</v>
      </c>
      <c r="M241" s="516">
        <v>84.5</v>
      </c>
      <c r="N241" s="516">
        <v>79.8</v>
      </c>
      <c r="O241" s="516">
        <v>74.5</v>
      </c>
      <c r="P241" s="516">
        <v>93</v>
      </c>
      <c r="Q241" s="516">
        <v>103.7</v>
      </c>
      <c r="R241" s="138">
        <v>1036.5</v>
      </c>
    </row>
    <row r="242" spans="1:18" x14ac:dyDescent="0.2">
      <c r="A242" t="s">
        <v>733</v>
      </c>
      <c r="B242" s="460">
        <v>105</v>
      </c>
      <c r="C242" s="460" t="s">
        <v>422</v>
      </c>
      <c r="D242" s="460" t="s">
        <v>291</v>
      </c>
      <c r="E242" t="s">
        <v>256</v>
      </c>
      <c r="F242" s="516">
        <v>68.599999999999994</v>
      </c>
      <c r="G242" s="516">
        <v>50.2</v>
      </c>
      <c r="H242" s="516">
        <v>60.9</v>
      </c>
      <c r="I242" s="516">
        <v>61.6</v>
      </c>
      <c r="J242" s="516">
        <v>76.7</v>
      </c>
      <c r="K242" s="516">
        <v>86.7</v>
      </c>
      <c r="L242" s="516">
        <v>90.8</v>
      </c>
      <c r="M242" s="516">
        <v>75.400000000000006</v>
      </c>
      <c r="N242" s="516">
        <v>63.1</v>
      </c>
      <c r="O242" s="516">
        <v>52.1</v>
      </c>
      <c r="P242" s="516">
        <v>67.099999999999994</v>
      </c>
      <c r="Q242" s="516">
        <v>75.5</v>
      </c>
      <c r="R242" s="138">
        <v>828.7</v>
      </c>
    </row>
    <row r="243" spans="1:18" x14ac:dyDescent="0.2">
      <c r="A243" t="s">
        <v>734</v>
      </c>
      <c r="B243" s="460">
        <v>43</v>
      </c>
      <c r="C243" s="460" t="s">
        <v>735</v>
      </c>
      <c r="D243" s="460" t="s">
        <v>736</v>
      </c>
      <c r="E243" t="s">
        <v>256</v>
      </c>
      <c r="F243" s="516">
        <v>53.4</v>
      </c>
      <c r="G243" s="516">
        <v>42.1</v>
      </c>
      <c r="H243" s="516">
        <v>51.2</v>
      </c>
      <c r="I243" s="516">
        <v>55.8</v>
      </c>
      <c r="J243" s="516">
        <v>66.400000000000006</v>
      </c>
      <c r="K243" s="516">
        <v>76.599999999999994</v>
      </c>
      <c r="L243" s="516">
        <v>67.400000000000006</v>
      </c>
      <c r="M243" s="516">
        <v>69.7</v>
      </c>
      <c r="N243" s="516">
        <v>59</v>
      </c>
      <c r="O243" s="516">
        <v>45.6</v>
      </c>
      <c r="P243" s="516">
        <v>57</v>
      </c>
      <c r="Q243" s="516">
        <v>61.3</v>
      </c>
      <c r="R243" s="138">
        <v>705.5</v>
      </c>
    </row>
    <row r="244" spans="1:18" x14ac:dyDescent="0.2">
      <c r="A244" t="s">
        <v>737</v>
      </c>
      <c r="B244" s="460">
        <v>36</v>
      </c>
      <c r="C244" s="460" t="s">
        <v>738</v>
      </c>
      <c r="D244" s="460" t="s">
        <v>739</v>
      </c>
      <c r="E244" t="s">
        <v>256</v>
      </c>
      <c r="F244" s="516">
        <v>47.8</v>
      </c>
      <c r="G244" s="516">
        <v>34.5</v>
      </c>
      <c r="H244" s="516">
        <v>44.1</v>
      </c>
      <c r="I244" s="516">
        <v>49.8</v>
      </c>
      <c r="J244" s="516">
        <v>63.1</v>
      </c>
      <c r="K244" s="516">
        <v>70.400000000000006</v>
      </c>
      <c r="L244" s="516">
        <v>67.7</v>
      </c>
      <c r="M244" s="516">
        <v>66.900000000000006</v>
      </c>
      <c r="N244" s="516">
        <v>54</v>
      </c>
      <c r="O244" s="516">
        <v>41.2</v>
      </c>
      <c r="P244" s="516">
        <v>47.5</v>
      </c>
      <c r="Q244" s="516">
        <v>55.1</v>
      </c>
      <c r="R244" s="138">
        <v>642.20000000000005</v>
      </c>
    </row>
    <row r="245" spans="1:18" x14ac:dyDescent="0.2">
      <c r="A245" t="s">
        <v>740</v>
      </c>
      <c r="B245" s="460">
        <v>255</v>
      </c>
      <c r="C245" s="460" t="s">
        <v>432</v>
      </c>
      <c r="D245" s="460" t="s">
        <v>268</v>
      </c>
      <c r="E245" t="s">
        <v>256</v>
      </c>
      <c r="F245" s="516">
        <v>104</v>
      </c>
      <c r="G245" s="516">
        <v>75.5</v>
      </c>
      <c r="H245" s="516">
        <v>93.6</v>
      </c>
      <c r="I245" s="516">
        <v>76.5</v>
      </c>
      <c r="J245" s="516">
        <v>77</v>
      </c>
      <c r="K245" s="516">
        <v>92.9</v>
      </c>
      <c r="L245" s="516">
        <v>94.4</v>
      </c>
      <c r="M245" s="516">
        <v>77.900000000000006</v>
      </c>
      <c r="N245" s="516">
        <v>77.2</v>
      </c>
      <c r="O245" s="516">
        <v>78.900000000000006</v>
      </c>
      <c r="P245" s="516">
        <v>101.8</v>
      </c>
      <c r="Q245" s="516">
        <v>113.3</v>
      </c>
      <c r="R245" s="138">
        <v>1063</v>
      </c>
    </row>
    <row r="246" spans="1:18" x14ac:dyDescent="0.2">
      <c r="A246" t="s">
        <v>741</v>
      </c>
      <c r="B246" s="460">
        <v>58</v>
      </c>
      <c r="C246" s="460" t="s">
        <v>299</v>
      </c>
      <c r="D246" s="460" t="s">
        <v>440</v>
      </c>
      <c r="E246" t="s">
        <v>256</v>
      </c>
      <c r="F246" s="516">
        <v>56.9</v>
      </c>
      <c r="G246" s="516">
        <v>46</v>
      </c>
      <c r="H246" s="516">
        <v>61.5</v>
      </c>
      <c r="I246" s="516">
        <v>51.9</v>
      </c>
      <c r="J246" s="516">
        <v>65.599999999999994</v>
      </c>
      <c r="K246" s="516">
        <v>75.2</v>
      </c>
      <c r="L246" s="516">
        <v>72</v>
      </c>
      <c r="M246" s="516">
        <v>69.7</v>
      </c>
      <c r="N246" s="516">
        <v>57.2</v>
      </c>
      <c r="O246" s="516">
        <v>52.3</v>
      </c>
      <c r="P246" s="516">
        <v>62.8</v>
      </c>
      <c r="Q246" s="516">
        <v>66.900000000000006</v>
      </c>
      <c r="R246" s="138">
        <v>737.9</v>
      </c>
    </row>
    <row r="247" spans="1:18" x14ac:dyDescent="0.2">
      <c r="A247" t="s">
        <v>742</v>
      </c>
      <c r="B247" s="460">
        <v>397</v>
      </c>
      <c r="C247" s="460" t="s">
        <v>435</v>
      </c>
      <c r="D247" s="460" t="s">
        <v>644</v>
      </c>
      <c r="E247" t="s">
        <v>256</v>
      </c>
      <c r="F247" s="516">
        <v>139.4</v>
      </c>
      <c r="G247" s="516">
        <v>100</v>
      </c>
      <c r="H247" s="516">
        <v>118.9</v>
      </c>
      <c r="I247" s="516">
        <v>95.2</v>
      </c>
      <c r="J247" s="516">
        <v>91.7</v>
      </c>
      <c r="K247" s="516">
        <v>112.4</v>
      </c>
      <c r="L247" s="516">
        <v>117.6</v>
      </c>
      <c r="M247" s="516">
        <v>94.8</v>
      </c>
      <c r="N247" s="516">
        <v>102.3</v>
      </c>
      <c r="O247" s="516">
        <v>104.8</v>
      </c>
      <c r="P247" s="516">
        <v>135.4</v>
      </c>
      <c r="Q247" s="516">
        <v>152.80000000000001</v>
      </c>
      <c r="R247" s="138">
        <v>1365.3</v>
      </c>
    </row>
    <row r="248" spans="1:18" x14ac:dyDescent="0.2">
      <c r="A248" t="s">
        <v>743</v>
      </c>
      <c r="B248" s="460">
        <v>66</v>
      </c>
      <c r="C248" s="460" t="s">
        <v>422</v>
      </c>
      <c r="D248" s="460" t="s">
        <v>744</v>
      </c>
      <c r="E248" t="s">
        <v>256</v>
      </c>
      <c r="F248" s="516">
        <v>66.5</v>
      </c>
      <c r="G248" s="516">
        <v>49.4</v>
      </c>
      <c r="H248" s="516">
        <v>63.3</v>
      </c>
      <c r="I248" s="516">
        <v>51.1</v>
      </c>
      <c r="J248" s="516">
        <v>59.5</v>
      </c>
      <c r="K248" s="516">
        <v>72.900000000000006</v>
      </c>
      <c r="L248" s="516">
        <v>73.599999999999994</v>
      </c>
      <c r="M248" s="516">
        <v>58.8</v>
      </c>
      <c r="N248" s="516">
        <v>66.599999999999994</v>
      </c>
      <c r="O248" s="516">
        <v>57.6</v>
      </c>
      <c r="P248" s="516">
        <v>73.7</v>
      </c>
      <c r="Q248" s="516">
        <v>79.099999999999994</v>
      </c>
      <c r="R248" s="138">
        <v>772</v>
      </c>
    </row>
    <row r="249" spans="1:18" x14ac:dyDescent="0.2">
      <c r="A249" t="s">
        <v>745</v>
      </c>
      <c r="B249" s="460">
        <v>40</v>
      </c>
      <c r="C249" s="460" t="s">
        <v>746</v>
      </c>
      <c r="D249" s="460" t="s">
        <v>328</v>
      </c>
      <c r="E249" t="s">
        <v>256</v>
      </c>
      <c r="F249" s="516">
        <v>47.7</v>
      </c>
      <c r="G249" s="516">
        <v>36.200000000000003</v>
      </c>
      <c r="H249" s="516">
        <v>46.7</v>
      </c>
      <c r="I249" s="516">
        <v>48.7</v>
      </c>
      <c r="J249" s="516">
        <v>60.1</v>
      </c>
      <c r="K249" s="516">
        <v>66.7</v>
      </c>
      <c r="L249" s="516">
        <v>58.5</v>
      </c>
      <c r="M249" s="516">
        <v>61.6</v>
      </c>
      <c r="N249" s="516">
        <v>50.4</v>
      </c>
      <c r="O249" s="516">
        <v>46.8</v>
      </c>
      <c r="P249" s="516">
        <v>50.9</v>
      </c>
      <c r="Q249" s="516">
        <v>58.5</v>
      </c>
      <c r="R249" s="138">
        <v>632.9</v>
      </c>
    </row>
    <row r="250" spans="1:18" x14ac:dyDescent="0.2">
      <c r="A250" t="s">
        <v>747</v>
      </c>
      <c r="B250" s="460">
        <v>42</v>
      </c>
      <c r="C250" s="460" t="s">
        <v>748</v>
      </c>
      <c r="D250" s="460" t="s">
        <v>749</v>
      </c>
      <c r="E250" t="s">
        <v>256</v>
      </c>
      <c r="F250" s="516">
        <v>53.6</v>
      </c>
      <c r="G250" s="516">
        <v>41.3</v>
      </c>
      <c r="H250" s="516">
        <v>50.5</v>
      </c>
      <c r="I250" s="516">
        <v>50.5</v>
      </c>
      <c r="J250" s="516">
        <v>62.3</v>
      </c>
      <c r="K250" s="516">
        <v>78.3</v>
      </c>
      <c r="L250" s="516">
        <v>63.5</v>
      </c>
      <c r="M250" s="516">
        <v>65.7</v>
      </c>
      <c r="N250" s="516">
        <v>57</v>
      </c>
      <c r="O250" s="516">
        <v>48.9</v>
      </c>
      <c r="P250" s="516">
        <v>56.1</v>
      </c>
      <c r="Q250" s="516">
        <v>64.400000000000006</v>
      </c>
      <c r="R250" s="138">
        <v>692</v>
      </c>
    </row>
    <row r="251" spans="1:18" x14ac:dyDescent="0.2">
      <c r="A251" t="s">
        <v>750</v>
      </c>
      <c r="B251" s="460">
        <v>48</v>
      </c>
      <c r="C251" s="460" t="s">
        <v>373</v>
      </c>
      <c r="D251" s="460" t="s">
        <v>744</v>
      </c>
      <c r="E251" t="s">
        <v>256</v>
      </c>
      <c r="F251" s="516">
        <v>70</v>
      </c>
      <c r="G251" s="516">
        <v>51.5</v>
      </c>
      <c r="H251" s="516">
        <v>63.8</v>
      </c>
      <c r="I251" s="516">
        <v>55.1</v>
      </c>
      <c r="J251" s="516">
        <v>72.3</v>
      </c>
      <c r="K251" s="516">
        <v>88.5</v>
      </c>
      <c r="L251" s="516">
        <v>79.3</v>
      </c>
      <c r="M251" s="516">
        <v>68.2</v>
      </c>
      <c r="N251" s="516">
        <v>61.4</v>
      </c>
      <c r="O251" s="516">
        <v>60.8</v>
      </c>
      <c r="P251" s="516">
        <v>71.099999999999994</v>
      </c>
      <c r="Q251" s="516">
        <v>78.2</v>
      </c>
      <c r="R251" s="138">
        <v>820.2</v>
      </c>
    </row>
    <row r="252" spans="1:18" x14ac:dyDescent="0.2">
      <c r="A252" t="s">
        <v>751</v>
      </c>
      <c r="B252" s="460">
        <v>109</v>
      </c>
      <c r="C252" s="460" t="s">
        <v>640</v>
      </c>
      <c r="D252" s="460" t="s">
        <v>525</v>
      </c>
      <c r="E252" t="s">
        <v>256</v>
      </c>
      <c r="F252" s="516">
        <v>73.5</v>
      </c>
      <c r="G252" s="516">
        <v>53.7</v>
      </c>
      <c r="H252" s="516">
        <v>64.3</v>
      </c>
      <c r="I252" s="516">
        <v>60.3</v>
      </c>
      <c r="J252" s="516">
        <v>68.8</v>
      </c>
      <c r="K252" s="516">
        <v>87.5</v>
      </c>
      <c r="L252" s="516">
        <v>85.7</v>
      </c>
      <c r="M252" s="516">
        <v>72.599999999999994</v>
      </c>
      <c r="N252" s="516">
        <v>72.099999999999994</v>
      </c>
      <c r="O252" s="516">
        <v>65.8</v>
      </c>
      <c r="P252" s="516">
        <v>80.7</v>
      </c>
      <c r="Q252" s="516">
        <v>89.2</v>
      </c>
      <c r="R252" s="138">
        <v>874.2</v>
      </c>
    </row>
    <row r="253" spans="1:18" x14ac:dyDescent="0.2">
      <c r="A253" t="s">
        <v>752</v>
      </c>
      <c r="B253" s="460">
        <v>60</v>
      </c>
      <c r="C253" s="460" t="s">
        <v>609</v>
      </c>
      <c r="D253" s="460" t="s">
        <v>300</v>
      </c>
      <c r="E253" t="s">
        <v>256</v>
      </c>
      <c r="F253" s="516">
        <v>76.900000000000006</v>
      </c>
      <c r="G253" s="516">
        <v>52.8</v>
      </c>
      <c r="H253" s="516">
        <v>69</v>
      </c>
      <c r="I253" s="516">
        <v>53.6</v>
      </c>
      <c r="J253" s="516">
        <v>69.3</v>
      </c>
      <c r="K253" s="516">
        <v>80.8</v>
      </c>
      <c r="L253" s="516">
        <v>75.5</v>
      </c>
      <c r="M253" s="516">
        <v>71.3</v>
      </c>
      <c r="N253" s="516">
        <v>66.5</v>
      </c>
      <c r="O253" s="516">
        <v>61.5</v>
      </c>
      <c r="P253" s="516">
        <v>78.7</v>
      </c>
      <c r="Q253" s="516">
        <v>87.2</v>
      </c>
      <c r="R253" s="138">
        <v>843.1</v>
      </c>
    </row>
    <row r="254" spans="1:18" x14ac:dyDescent="0.2">
      <c r="A254" t="s">
        <v>753</v>
      </c>
      <c r="B254" s="460">
        <v>208</v>
      </c>
      <c r="C254" s="460" t="s">
        <v>560</v>
      </c>
      <c r="D254" s="460" t="s">
        <v>552</v>
      </c>
      <c r="E254" t="s">
        <v>256</v>
      </c>
      <c r="F254" s="516">
        <v>135.1</v>
      </c>
      <c r="G254" s="516">
        <v>94.3</v>
      </c>
      <c r="H254" s="516">
        <v>116.3</v>
      </c>
      <c r="I254" s="516">
        <v>91.6</v>
      </c>
      <c r="J254" s="516">
        <v>90.1</v>
      </c>
      <c r="K254" s="516">
        <v>110.9</v>
      </c>
      <c r="L254" s="516">
        <v>119.8</v>
      </c>
      <c r="M254" s="516">
        <v>94.9</v>
      </c>
      <c r="N254" s="516">
        <v>100.9</v>
      </c>
      <c r="O254" s="516">
        <v>101.7</v>
      </c>
      <c r="P254" s="516">
        <v>128.5</v>
      </c>
      <c r="Q254" s="516">
        <v>151.30000000000001</v>
      </c>
      <c r="R254" s="138">
        <v>1335.3</v>
      </c>
    </row>
    <row r="255" spans="1:18" x14ac:dyDescent="0.2">
      <c r="A255" t="s">
        <v>754</v>
      </c>
      <c r="B255" s="460">
        <v>266</v>
      </c>
      <c r="C255" s="460" t="s">
        <v>686</v>
      </c>
      <c r="D255" s="460" t="s">
        <v>755</v>
      </c>
      <c r="E255" t="s">
        <v>256</v>
      </c>
      <c r="F255" s="516">
        <v>132</v>
      </c>
      <c r="G255" s="516">
        <v>96.5</v>
      </c>
      <c r="H255" s="516">
        <v>115.5</v>
      </c>
      <c r="I255" s="516">
        <v>89</v>
      </c>
      <c r="J255" s="516">
        <v>88</v>
      </c>
      <c r="K255" s="516">
        <v>100.2</v>
      </c>
      <c r="L255" s="516">
        <v>109.3</v>
      </c>
      <c r="M255" s="516">
        <v>93</v>
      </c>
      <c r="N255" s="516">
        <v>98.9</v>
      </c>
      <c r="O255" s="516">
        <v>101.9</v>
      </c>
      <c r="P255" s="516">
        <v>130.19999999999999</v>
      </c>
      <c r="Q255" s="516">
        <v>150</v>
      </c>
      <c r="R255" s="138">
        <v>1304.5999999999999</v>
      </c>
    </row>
    <row r="256" spans="1:18" x14ac:dyDescent="0.2">
      <c r="A256" t="s">
        <v>756</v>
      </c>
      <c r="B256" s="460">
        <v>180</v>
      </c>
      <c r="C256" s="460" t="s">
        <v>757</v>
      </c>
      <c r="D256" s="460" t="s">
        <v>758</v>
      </c>
      <c r="E256" t="s">
        <v>256</v>
      </c>
      <c r="F256" s="516">
        <v>39.700000000000003</v>
      </c>
      <c r="G256" s="516">
        <v>36</v>
      </c>
      <c r="H256" s="516">
        <v>46.5</v>
      </c>
      <c r="I256" s="516">
        <v>49.9</v>
      </c>
      <c r="J256" s="516">
        <v>58.5</v>
      </c>
      <c r="K256" s="516">
        <v>68.7</v>
      </c>
      <c r="L256" s="516">
        <v>69.099999999999994</v>
      </c>
      <c r="M256" s="516">
        <v>66.7</v>
      </c>
      <c r="N256" s="516">
        <v>52.5</v>
      </c>
      <c r="O256" s="516">
        <v>42.2</v>
      </c>
      <c r="P256" s="516">
        <v>50.9</v>
      </c>
      <c r="Q256" s="516">
        <v>44.6</v>
      </c>
      <c r="R256" s="138">
        <v>625.20000000000005</v>
      </c>
    </row>
    <row r="257" spans="1:18" x14ac:dyDescent="0.2">
      <c r="A257" t="s">
        <v>759</v>
      </c>
      <c r="B257" s="460">
        <v>25</v>
      </c>
      <c r="C257" s="460" t="s">
        <v>760</v>
      </c>
      <c r="D257" s="460" t="s">
        <v>498</v>
      </c>
      <c r="E257" t="s">
        <v>256</v>
      </c>
      <c r="F257" s="516">
        <v>62.5</v>
      </c>
      <c r="G257" s="516">
        <v>47</v>
      </c>
      <c r="H257" s="516">
        <v>63.8</v>
      </c>
      <c r="I257" s="516">
        <v>48</v>
      </c>
      <c r="J257" s="516">
        <v>67.2</v>
      </c>
      <c r="K257" s="516">
        <v>74.8</v>
      </c>
      <c r="L257" s="516">
        <v>83.9</v>
      </c>
      <c r="M257" s="516">
        <v>59.9</v>
      </c>
      <c r="N257" s="516">
        <v>57.4</v>
      </c>
      <c r="O257" s="516">
        <v>55.3</v>
      </c>
      <c r="P257" s="516">
        <v>72.2</v>
      </c>
      <c r="Q257" s="516">
        <v>73</v>
      </c>
      <c r="R257" s="138">
        <v>765</v>
      </c>
    </row>
    <row r="258" spans="1:18" x14ac:dyDescent="0.2">
      <c r="A258" t="s">
        <v>761</v>
      </c>
      <c r="B258" s="460">
        <v>37</v>
      </c>
      <c r="C258" s="460" t="s">
        <v>579</v>
      </c>
      <c r="D258" s="460" t="s">
        <v>374</v>
      </c>
      <c r="E258" t="s">
        <v>256</v>
      </c>
      <c r="F258" s="516">
        <v>62.9</v>
      </c>
      <c r="G258" s="516">
        <v>42.9</v>
      </c>
      <c r="H258" s="516">
        <v>55.7</v>
      </c>
      <c r="I258" s="516">
        <v>49.7</v>
      </c>
      <c r="J258" s="516">
        <v>61.1</v>
      </c>
      <c r="K258" s="516">
        <v>67.2</v>
      </c>
      <c r="L258" s="516">
        <v>69.7</v>
      </c>
      <c r="M258" s="516">
        <v>59.7</v>
      </c>
      <c r="N258" s="516">
        <v>56.2</v>
      </c>
      <c r="O258" s="516">
        <v>53</v>
      </c>
      <c r="P258" s="516">
        <v>65.400000000000006</v>
      </c>
      <c r="Q258" s="516">
        <v>70.400000000000006</v>
      </c>
      <c r="R258" s="138">
        <v>713.9</v>
      </c>
    </row>
    <row r="259" spans="1:18" x14ac:dyDescent="0.2">
      <c r="A259" t="s">
        <v>762</v>
      </c>
      <c r="B259" s="460">
        <v>80</v>
      </c>
      <c r="C259" s="460" t="s">
        <v>342</v>
      </c>
      <c r="D259" s="460" t="s">
        <v>763</v>
      </c>
      <c r="E259" t="s">
        <v>256</v>
      </c>
      <c r="F259" s="516">
        <v>62.9</v>
      </c>
      <c r="G259" s="516">
        <v>43.8</v>
      </c>
      <c r="H259" s="516">
        <v>60.4</v>
      </c>
      <c r="I259" s="516">
        <v>58.9</v>
      </c>
      <c r="J259" s="516">
        <v>70.7</v>
      </c>
      <c r="K259" s="516">
        <v>73.2</v>
      </c>
      <c r="L259" s="516">
        <v>81.400000000000006</v>
      </c>
      <c r="M259" s="516">
        <v>71.5</v>
      </c>
      <c r="N259" s="516">
        <v>61.1</v>
      </c>
      <c r="O259" s="516">
        <v>49.2</v>
      </c>
      <c r="P259" s="516">
        <v>64.7</v>
      </c>
      <c r="Q259" s="516">
        <v>74.900000000000006</v>
      </c>
      <c r="R259" s="138">
        <v>772.7</v>
      </c>
    </row>
    <row r="260" spans="1:18" x14ac:dyDescent="0.2">
      <c r="A260" t="s">
        <v>764</v>
      </c>
      <c r="B260" s="460">
        <v>142</v>
      </c>
      <c r="C260" s="460" t="s">
        <v>765</v>
      </c>
      <c r="D260" s="460" t="s">
        <v>591</v>
      </c>
      <c r="E260" t="s">
        <v>256</v>
      </c>
      <c r="F260" s="516">
        <v>62.5</v>
      </c>
      <c r="G260" s="516">
        <v>44.4</v>
      </c>
      <c r="H260" s="516">
        <v>51.5</v>
      </c>
      <c r="I260" s="516">
        <v>52.7</v>
      </c>
      <c r="J260" s="516">
        <v>69.5</v>
      </c>
      <c r="K260" s="516">
        <v>80.099999999999994</v>
      </c>
      <c r="L260" s="516">
        <v>68.3</v>
      </c>
      <c r="M260" s="516">
        <v>69.8</v>
      </c>
      <c r="N260" s="516">
        <v>59.3</v>
      </c>
      <c r="O260" s="516">
        <v>51.3</v>
      </c>
      <c r="P260" s="516">
        <v>66.8</v>
      </c>
      <c r="Q260" s="516">
        <v>67.599999999999994</v>
      </c>
      <c r="R260" s="138">
        <v>743.7</v>
      </c>
    </row>
    <row r="261" spans="1:18" x14ac:dyDescent="0.2">
      <c r="A261" t="s">
        <v>766</v>
      </c>
      <c r="B261" s="460">
        <v>164</v>
      </c>
      <c r="C261" s="460" t="s">
        <v>444</v>
      </c>
      <c r="D261" s="460" t="s">
        <v>525</v>
      </c>
      <c r="E261" t="s">
        <v>256</v>
      </c>
      <c r="F261" s="516">
        <v>82.8</v>
      </c>
      <c r="G261" s="516">
        <v>59.8</v>
      </c>
      <c r="H261" s="516">
        <v>79.5</v>
      </c>
      <c r="I261" s="516">
        <v>67.7</v>
      </c>
      <c r="J261" s="516">
        <v>81.2</v>
      </c>
      <c r="K261" s="516">
        <v>98</v>
      </c>
      <c r="L261" s="516">
        <v>98.7</v>
      </c>
      <c r="M261" s="516">
        <v>83.6</v>
      </c>
      <c r="N261" s="516">
        <v>77</v>
      </c>
      <c r="O261" s="516">
        <v>66.7</v>
      </c>
      <c r="P261" s="516">
        <v>80.599999999999994</v>
      </c>
      <c r="Q261" s="516">
        <v>88.2</v>
      </c>
      <c r="R261" s="138">
        <v>963.8</v>
      </c>
    </row>
    <row r="262" spans="1:18" x14ac:dyDescent="0.2">
      <c r="A262" t="s">
        <v>767</v>
      </c>
      <c r="B262" s="460">
        <v>440</v>
      </c>
      <c r="C262" s="460" t="s">
        <v>534</v>
      </c>
      <c r="D262" s="460" t="s">
        <v>365</v>
      </c>
      <c r="E262" t="s">
        <v>256</v>
      </c>
      <c r="F262" s="516">
        <v>86.5</v>
      </c>
      <c r="G262" s="516">
        <v>75.7</v>
      </c>
      <c r="H262" s="516">
        <v>85.8</v>
      </c>
      <c r="I262" s="516">
        <v>83.7</v>
      </c>
      <c r="J262" s="516">
        <v>88.7</v>
      </c>
      <c r="K262" s="516">
        <v>98.9</v>
      </c>
      <c r="L262" s="516">
        <v>100.3</v>
      </c>
      <c r="M262" s="516">
        <v>88.3</v>
      </c>
      <c r="N262" s="516">
        <v>74.5</v>
      </c>
      <c r="O262" s="516">
        <v>75.8</v>
      </c>
      <c r="P262" s="516">
        <v>97.1</v>
      </c>
      <c r="Q262" s="516">
        <v>108.6</v>
      </c>
      <c r="R262" s="138">
        <v>1063.9000000000001</v>
      </c>
    </row>
    <row r="263" spans="1:18" x14ac:dyDescent="0.2">
      <c r="A263" t="s">
        <v>768</v>
      </c>
      <c r="B263" s="460">
        <v>393</v>
      </c>
      <c r="C263" s="460" t="s">
        <v>571</v>
      </c>
      <c r="D263" s="460" t="s">
        <v>365</v>
      </c>
      <c r="E263" t="s">
        <v>256</v>
      </c>
      <c r="F263" s="516">
        <v>96.2</v>
      </c>
      <c r="G263" s="516">
        <v>81.7</v>
      </c>
      <c r="H263" s="516">
        <v>95.8</v>
      </c>
      <c r="I263" s="516">
        <v>87.8</v>
      </c>
      <c r="J263" s="516">
        <v>89.9</v>
      </c>
      <c r="K263" s="516">
        <v>102</v>
      </c>
      <c r="L263" s="516">
        <v>101.1</v>
      </c>
      <c r="M263" s="516">
        <v>87.8</v>
      </c>
      <c r="N263" s="516">
        <v>74.7</v>
      </c>
      <c r="O263" s="516">
        <v>79.2</v>
      </c>
      <c r="P263" s="516">
        <v>102.5</v>
      </c>
      <c r="Q263" s="516">
        <v>107.2</v>
      </c>
      <c r="R263" s="138">
        <v>1105.8</v>
      </c>
    </row>
    <row r="264" spans="1:18" x14ac:dyDescent="0.2">
      <c r="A264" t="s">
        <v>769</v>
      </c>
      <c r="B264" s="460">
        <v>361</v>
      </c>
      <c r="C264" s="460" t="s">
        <v>684</v>
      </c>
      <c r="D264" s="460" t="s">
        <v>763</v>
      </c>
      <c r="E264" t="s">
        <v>256</v>
      </c>
      <c r="F264" s="516">
        <v>82.7</v>
      </c>
      <c r="G264" s="516">
        <v>58.1</v>
      </c>
      <c r="H264" s="516">
        <v>70.599999999999994</v>
      </c>
      <c r="I264" s="516">
        <v>67.900000000000006</v>
      </c>
      <c r="J264" s="516">
        <v>84.4</v>
      </c>
      <c r="K264" s="516">
        <v>93.2</v>
      </c>
      <c r="L264" s="516">
        <v>94.7</v>
      </c>
      <c r="M264" s="516">
        <v>80.8</v>
      </c>
      <c r="N264" s="516">
        <v>67</v>
      </c>
      <c r="O264" s="516">
        <v>60.2</v>
      </c>
      <c r="P264" s="516">
        <v>75.099999999999994</v>
      </c>
      <c r="Q264" s="516">
        <v>86.8</v>
      </c>
      <c r="R264" s="138">
        <v>921.5</v>
      </c>
    </row>
    <row r="265" spans="1:18" x14ac:dyDescent="0.2">
      <c r="A265" t="s">
        <v>770</v>
      </c>
      <c r="B265" s="460">
        <v>142</v>
      </c>
      <c r="C265" s="460" t="s">
        <v>677</v>
      </c>
      <c r="D265" s="460" t="s">
        <v>371</v>
      </c>
      <c r="E265" t="s">
        <v>256</v>
      </c>
      <c r="F265" s="516">
        <v>97.9</v>
      </c>
      <c r="G265" s="516">
        <v>66.099999999999994</v>
      </c>
      <c r="H265" s="516">
        <v>81.2</v>
      </c>
      <c r="I265" s="516">
        <v>73.099999999999994</v>
      </c>
      <c r="J265" s="516">
        <v>86</v>
      </c>
      <c r="K265" s="516">
        <v>96.1</v>
      </c>
      <c r="L265" s="516">
        <v>99.9</v>
      </c>
      <c r="M265" s="516">
        <v>87.1</v>
      </c>
      <c r="N265" s="516">
        <v>78.099999999999994</v>
      </c>
      <c r="O265" s="516">
        <v>76.2</v>
      </c>
      <c r="P265" s="516">
        <v>94.5</v>
      </c>
      <c r="Q265" s="516">
        <v>110.7</v>
      </c>
      <c r="R265" s="138">
        <v>1046.9000000000001</v>
      </c>
    </row>
    <row r="266" spans="1:18" x14ac:dyDescent="0.2">
      <c r="A266" t="s">
        <v>771</v>
      </c>
      <c r="B266" s="460">
        <v>205</v>
      </c>
      <c r="C266" s="460" t="s">
        <v>677</v>
      </c>
      <c r="D266" s="460" t="s">
        <v>513</v>
      </c>
      <c r="E266" t="s">
        <v>256</v>
      </c>
      <c r="F266" s="516">
        <v>96.2</v>
      </c>
      <c r="G266" s="516">
        <v>71.400000000000006</v>
      </c>
      <c r="H266" s="516">
        <v>89.2</v>
      </c>
      <c r="I266" s="516">
        <v>70.599999999999994</v>
      </c>
      <c r="J266" s="516">
        <v>80.7</v>
      </c>
      <c r="K266" s="516">
        <v>92.9</v>
      </c>
      <c r="L266" s="516">
        <v>97.1</v>
      </c>
      <c r="M266" s="516">
        <v>86.7</v>
      </c>
      <c r="N266" s="516">
        <v>79.599999999999994</v>
      </c>
      <c r="O266" s="516">
        <v>75.900000000000006</v>
      </c>
      <c r="P266" s="516">
        <v>92.3</v>
      </c>
      <c r="Q266" s="516">
        <v>112.7</v>
      </c>
      <c r="R266" s="138">
        <v>1045.2</v>
      </c>
    </row>
    <row r="267" spans="1:18" x14ac:dyDescent="0.2">
      <c r="A267" t="s">
        <v>772</v>
      </c>
      <c r="B267" s="460">
        <v>92.5</v>
      </c>
      <c r="C267" s="460" t="s">
        <v>367</v>
      </c>
      <c r="D267" s="460" t="s">
        <v>749</v>
      </c>
      <c r="E267" t="s">
        <v>256</v>
      </c>
      <c r="F267" s="516">
        <v>62.9</v>
      </c>
      <c r="G267" s="516">
        <v>44.5</v>
      </c>
      <c r="H267" s="516">
        <v>61.8</v>
      </c>
      <c r="I267" s="516">
        <v>59.4</v>
      </c>
      <c r="J267" s="516">
        <v>79.099999999999994</v>
      </c>
      <c r="K267" s="516">
        <v>82.8</v>
      </c>
      <c r="L267" s="516">
        <v>91.3</v>
      </c>
      <c r="M267" s="516">
        <v>75.2</v>
      </c>
      <c r="N267" s="516">
        <v>60.7</v>
      </c>
      <c r="O267" s="516">
        <v>53.3</v>
      </c>
      <c r="P267" s="516">
        <v>66.400000000000006</v>
      </c>
      <c r="Q267" s="516">
        <v>72.599999999999994</v>
      </c>
      <c r="R267" s="138">
        <v>810.2</v>
      </c>
    </row>
    <row r="268" spans="1:18" x14ac:dyDescent="0.2">
      <c r="A268" t="s">
        <v>773</v>
      </c>
      <c r="B268" s="460">
        <v>135</v>
      </c>
      <c r="C268" s="460" t="s">
        <v>474</v>
      </c>
      <c r="D268" s="460" t="s">
        <v>626</v>
      </c>
      <c r="E268" t="s">
        <v>256</v>
      </c>
      <c r="F268" s="516">
        <v>68.099999999999994</v>
      </c>
      <c r="G268" s="516">
        <v>52.4</v>
      </c>
      <c r="H268" s="516">
        <v>62.2</v>
      </c>
      <c r="I268" s="516">
        <v>58.4</v>
      </c>
      <c r="J268" s="516">
        <v>72.3</v>
      </c>
      <c r="K268" s="516">
        <v>82.8</v>
      </c>
      <c r="L268" s="516">
        <v>72.900000000000006</v>
      </c>
      <c r="M268" s="516">
        <v>67.8</v>
      </c>
      <c r="N268" s="516">
        <v>63.7</v>
      </c>
      <c r="O268" s="516">
        <v>53.4</v>
      </c>
      <c r="P268" s="516">
        <v>66.099999999999994</v>
      </c>
      <c r="Q268" s="516">
        <v>78.3</v>
      </c>
      <c r="R268" s="138">
        <v>798.3</v>
      </c>
    </row>
    <row r="269" spans="1:18" x14ac:dyDescent="0.2">
      <c r="A269" t="s">
        <v>774</v>
      </c>
      <c r="B269" s="460">
        <v>66</v>
      </c>
      <c r="C269" s="460" t="s">
        <v>261</v>
      </c>
      <c r="D269" s="460" t="s">
        <v>525</v>
      </c>
      <c r="E269" t="s">
        <v>256</v>
      </c>
      <c r="F269" s="516">
        <v>48.4</v>
      </c>
      <c r="G269" s="516">
        <v>39.5</v>
      </c>
      <c r="H269" s="516">
        <v>50.4</v>
      </c>
      <c r="I269" s="516">
        <v>45.7</v>
      </c>
      <c r="J269" s="516">
        <v>62</v>
      </c>
      <c r="K269" s="516">
        <v>77.400000000000006</v>
      </c>
      <c r="L269" s="516">
        <v>76</v>
      </c>
      <c r="M269" s="516">
        <v>69.900000000000006</v>
      </c>
      <c r="N269" s="516">
        <v>58.1</v>
      </c>
      <c r="O269" s="516">
        <v>47.2</v>
      </c>
      <c r="P269" s="516">
        <v>55.4</v>
      </c>
      <c r="Q269" s="516">
        <v>56.1</v>
      </c>
      <c r="R269" s="138">
        <v>686.1</v>
      </c>
    </row>
    <row r="270" spans="1:18" x14ac:dyDescent="0.2">
      <c r="A270" t="s">
        <v>775</v>
      </c>
      <c r="B270" s="460">
        <v>170</v>
      </c>
      <c r="C270" s="460" t="s">
        <v>390</v>
      </c>
      <c r="D270" s="460" t="s">
        <v>776</v>
      </c>
      <c r="E270" t="s">
        <v>256</v>
      </c>
      <c r="F270" s="516">
        <v>55.7</v>
      </c>
      <c r="G270" s="516">
        <v>45.8</v>
      </c>
      <c r="H270" s="516">
        <v>58.9</v>
      </c>
      <c r="I270" s="516">
        <v>56.5</v>
      </c>
      <c r="J270" s="516">
        <v>68.3</v>
      </c>
      <c r="K270" s="516">
        <v>82.6</v>
      </c>
      <c r="L270" s="516">
        <v>77.8</v>
      </c>
      <c r="M270" s="516">
        <v>73.099999999999994</v>
      </c>
      <c r="N270" s="516">
        <v>58.3</v>
      </c>
      <c r="O270" s="516">
        <v>48.1</v>
      </c>
      <c r="P270" s="516">
        <v>59.5</v>
      </c>
      <c r="Q270" s="516">
        <v>66.599999999999994</v>
      </c>
      <c r="R270" s="138">
        <v>751.2</v>
      </c>
    </row>
    <row r="271" spans="1:18" x14ac:dyDescent="0.2">
      <c r="A271" t="s">
        <v>777</v>
      </c>
      <c r="B271" s="460">
        <v>81</v>
      </c>
      <c r="C271" s="460" t="s">
        <v>517</v>
      </c>
      <c r="D271" s="460" t="s">
        <v>606</v>
      </c>
      <c r="E271" t="s">
        <v>256</v>
      </c>
      <c r="F271" s="516">
        <v>57.1</v>
      </c>
      <c r="G271" s="516">
        <v>45.1</v>
      </c>
      <c r="H271" s="516">
        <v>57</v>
      </c>
      <c r="I271" s="516">
        <v>55.8</v>
      </c>
      <c r="J271" s="516">
        <v>71</v>
      </c>
      <c r="K271" s="516">
        <v>89.3</v>
      </c>
      <c r="L271" s="516">
        <v>81.5</v>
      </c>
      <c r="M271" s="516">
        <v>67.599999999999994</v>
      </c>
      <c r="N271" s="516">
        <v>62.1</v>
      </c>
      <c r="O271" s="516">
        <v>50.5</v>
      </c>
      <c r="P271" s="516">
        <v>62.4</v>
      </c>
      <c r="Q271" s="516">
        <v>68.599999999999994</v>
      </c>
      <c r="R271" s="138">
        <v>768.1</v>
      </c>
    </row>
    <row r="272" spans="1:18" x14ac:dyDescent="0.2">
      <c r="A272" t="s">
        <v>778</v>
      </c>
      <c r="B272" s="460">
        <v>155</v>
      </c>
      <c r="C272" s="460" t="s">
        <v>504</v>
      </c>
      <c r="D272" s="460" t="s">
        <v>779</v>
      </c>
      <c r="E272" t="s">
        <v>256</v>
      </c>
      <c r="F272" s="516">
        <v>76.2</v>
      </c>
      <c r="G272" s="516">
        <v>55.6</v>
      </c>
      <c r="H272" s="516">
        <v>68</v>
      </c>
      <c r="I272" s="516">
        <v>63.5</v>
      </c>
      <c r="J272" s="516">
        <v>77.099999999999994</v>
      </c>
      <c r="K272" s="516">
        <v>87.3</v>
      </c>
      <c r="L272" s="516">
        <v>83.9</v>
      </c>
      <c r="M272" s="516">
        <v>74.599999999999994</v>
      </c>
      <c r="N272" s="516">
        <v>63.9</v>
      </c>
      <c r="O272" s="516">
        <v>54.2</v>
      </c>
      <c r="P272" s="516">
        <v>77.099999999999994</v>
      </c>
      <c r="Q272" s="516">
        <v>86.3</v>
      </c>
      <c r="R272" s="138">
        <v>867.6</v>
      </c>
    </row>
    <row r="273" spans="1:18" x14ac:dyDescent="0.2">
      <c r="A273" t="s">
        <v>780</v>
      </c>
      <c r="B273" s="460">
        <v>220</v>
      </c>
      <c r="C273" s="460" t="s">
        <v>396</v>
      </c>
      <c r="D273" s="460" t="s">
        <v>779</v>
      </c>
      <c r="E273" t="s">
        <v>256</v>
      </c>
      <c r="F273" s="516">
        <v>84.3</v>
      </c>
      <c r="G273" s="516">
        <v>58</v>
      </c>
      <c r="H273" s="516">
        <v>69</v>
      </c>
      <c r="I273" s="516">
        <v>67.5</v>
      </c>
      <c r="J273" s="516">
        <v>80.900000000000006</v>
      </c>
      <c r="K273" s="516">
        <v>92.2</v>
      </c>
      <c r="L273" s="516">
        <v>86.5</v>
      </c>
      <c r="M273" s="516">
        <v>74.5</v>
      </c>
      <c r="N273" s="516">
        <v>74</v>
      </c>
      <c r="O273" s="516">
        <v>62.8</v>
      </c>
      <c r="P273" s="516">
        <v>78.2</v>
      </c>
      <c r="Q273" s="516">
        <v>97.2</v>
      </c>
      <c r="R273" s="138">
        <v>925.1</v>
      </c>
    </row>
    <row r="274" spans="1:18" x14ac:dyDescent="0.2">
      <c r="A274" t="s">
        <v>781</v>
      </c>
      <c r="B274" s="460">
        <v>370</v>
      </c>
      <c r="C274" s="460" t="s">
        <v>693</v>
      </c>
      <c r="D274" s="460" t="s">
        <v>519</v>
      </c>
      <c r="E274" t="s">
        <v>256</v>
      </c>
      <c r="F274" s="516">
        <v>66.099999999999994</v>
      </c>
      <c r="G274" s="516">
        <v>61.8</v>
      </c>
      <c r="H274" s="516">
        <v>65.5</v>
      </c>
      <c r="I274" s="516">
        <v>61.9</v>
      </c>
      <c r="J274" s="516">
        <v>67.7</v>
      </c>
      <c r="K274" s="516">
        <v>68.5</v>
      </c>
      <c r="L274" s="516">
        <v>71.3</v>
      </c>
      <c r="M274" s="516">
        <v>65.8</v>
      </c>
      <c r="N274" s="516">
        <v>51.1</v>
      </c>
      <c r="O274" s="516">
        <v>55.1</v>
      </c>
      <c r="P274" s="516">
        <v>73.400000000000006</v>
      </c>
      <c r="Q274" s="516">
        <v>76.099999999999994</v>
      </c>
      <c r="R274" s="138">
        <v>784.3</v>
      </c>
    </row>
    <row r="275" spans="1:18" x14ac:dyDescent="0.2">
      <c r="A275" t="s">
        <v>782</v>
      </c>
      <c r="B275" s="460">
        <v>572</v>
      </c>
      <c r="C275" s="460" t="s">
        <v>695</v>
      </c>
      <c r="D275" s="460" t="s">
        <v>541</v>
      </c>
      <c r="E275" t="s">
        <v>256</v>
      </c>
      <c r="F275" s="516">
        <v>109.1</v>
      </c>
      <c r="G275" s="516">
        <v>85.7</v>
      </c>
      <c r="H275" s="516">
        <v>97.3</v>
      </c>
      <c r="I275" s="516">
        <v>73.5</v>
      </c>
      <c r="J275" s="516">
        <v>72.2</v>
      </c>
      <c r="K275" s="516">
        <v>85.3</v>
      </c>
      <c r="L275" s="516">
        <v>97.6</v>
      </c>
      <c r="M275" s="516">
        <v>85.2</v>
      </c>
      <c r="N275" s="516">
        <v>85</v>
      </c>
      <c r="O275" s="516">
        <v>85.7</v>
      </c>
      <c r="P275" s="516">
        <v>110.7</v>
      </c>
      <c r="Q275" s="516">
        <v>119.7</v>
      </c>
      <c r="R275" s="138">
        <v>1107</v>
      </c>
    </row>
    <row r="276" spans="1:18" x14ac:dyDescent="0.2">
      <c r="A276" t="s">
        <v>783</v>
      </c>
      <c r="B276" s="460">
        <v>490</v>
      </c>
      <c r="C276" s="460" t="s">
        <v>464</v>
      </c>
      <c r="D276" s="460" t="s">
        <v>306</v>
      </c>
      <c r="E276" t="s">
        <v>256</v>
      </c>
      <c r="F276" s="516">
        <v>88.8</v>
      </c>
      <c r="G276" s="516">
        <v>63.3</v>
      </c>
      <c r="H276" s="516">
        <v>84.5</v>
      </c>
      <c r="I276" s="516">
        <v>74.099999999999994</v>
      </c>
      <c r="J276" s="516">
        <v>87.6</v>
      </c>
      <c r="K276" s="516">
        <v>94.3</v>
      </c>
      <c r="L276" s="516">
        <v>105</v>
      </c>
      <c r="M276" s="516">
        <v>84.5</v>
      </c>
      <c r="N276" s="516">
        <v>76.400000000000006</v>
      </c>
      <c r="O276" s="516">
        <v>73.900000000000006</v>
      </c>
      <c r="P276" s="516">
        <v>92.4</v>
      </c>
      <c r="Q276" s="516">
        <v>108.9</v>
      </c>
      <c r="R276" s="138">
        <v>1033.7</v>
      </c>
    </row>
    <row r="277" spans="1:18" x14ac:dyDescent="0.2">
      <c r="A277" t="s">
        <v>784</v>
      </c>
      <c r="B277" s="460">
        <v>364</v>
      </c>
      <c r="C277" s="460" t="s">
        <v>577</v>
      </c>
      <c r="D277" s="460" t="s">
        <v>679</v>
      </c>
      <c r="E277" t="s">
        <v>256</v>
      </c>
      <c r="F277" s="516">
        <v>117</v>
      </c>
      <c r="G277" s="516">
        <v>83.7</v>
      </c>
      <c r="H277" s="516">
        <v>99.4</v>
      </c>
      <c r="I277" s="516">
        <v>81.099999999999994</v>
      </c>
      <c r="J277" s="516">
        <v>84.4</v>
      </c>
      <c r="K277" s="516">
        <v>95.9</v>
      </c>
      <c r="L277" s="516">
        <v>97.4</v>
      </c>
      <c r="M277" s="516">
        <v>83.3</v>
      </c>
      <c r="N277" s="516">
        <v>79.2</v>
      </c>
      <c r="O277" s="516">
        <v>82.6</v>
      </c>
      <c r="P277" s="516">
        <v>110.6</v>
      </c>
      <c r="Q277" s="516">
        <v>127.7</v>
      </c>
      <c r="R277" s="138">
        <v>1142.2</v>
      </c>
    </row>
    <row r="278" spans="1:18" x14ac:dyDescent="0.2">
      <c r="A278" t="s">
        <v>785</v>
      </c>
      <c r="B278" s="460">
        <v>435</v>
      </c>
      <c r="C278" s="460" t="s">
        <v>432</v>
      </c>
      <c r="D278" s="460" t="s">
        <v>460</v>
      </c>
      <c r="E278" t="s">
        <v>256</v>
      </c>
      <c r="F278" s="516">
        <v>90.3</v>
      </c>
      <c r="G278" s="516">
        <v>64.7</v>
      </c>
      <c r="H278" s="516">
        <v>75.8</v>
      </c>
      <c r="I278" s="516">
        <v>67.5</v>
      </c>
      <c r="J278" s="516">
        <v>82</v>
      </c>
      <c r="K278" s="516">
        <v>86.3</v>
      </c>
      <c r="L278" s="516">
        <v>102.9</v>
      </c>
      <c r="M278" s="516">
        <v>80.3</v>
      </c>
      <c r="N278" s="516">
        <v>70.7</v>
      </c>
      <c r="O278" s="516">
        <v>72.3</v>
      </c>
      <c r="P278" s="516">
        <v>90.5</v>
      </c>
      <c r="Q278" s="516">
        <v>103.4</v>
      </c>
      <c r="R278" s="138">
        <v>986.9</v>
      </c>
    </row>
    <row r="279" spans="1:18" x14ac:dyDescent="0.2">
      <c r="A279" t="s">
        <v>786</v>
      </c>
      <c r="B279" s="460">
        <v>100</v>
      </c>
      <c r="C279" s="460" t="s">
        <v>264</v>
      </c>
      <c r="D279" s="460" t="s">
        <v>614</v>
      </c>
      <c r="E279" t="s">
        <v>256</v>
      </c>
      <c r="F279" s="516">
        <v>74.8</v>
      </c>
      <c r="G279" s="516">
        <v>51.4</v>
      </c>
      <c r="H279" s="516">
        <v>65.400000000000006</v>
      </c>
      <c r="I279" s="516">
        <v>56.5</v>
      </c>
      <c r="J279" s="516">
        <v>68.099999999999994</v>
      </c>
      <c r="K279" s="516">
        <v>79.599999999999994</v>
      </c>
      <c r="L279" s="516">
        <v>79.7</v>
      </c>
      <c r="M279" s="516">
        <v>71.3</v>
      </c>
      <c r="N279" s="516">
        <v>67.599999999999994</v>
      </c>
      <c r="O279" s="516">
        <v>59.5</v>
      </c>
      <c r="P279" s="516">
        <v>74.3</v>
      </c>
      <c r="Q279" s="516">
        <v>84.7</v>
      </c>
      <c r="R279" s="138">
        <v>832.7</v>
      </c>
    </row>
    <row r="280" spans="1:18" x14ac:dyDescent="0.2">
      <c r="A280" t="s">
        <v>787</v>
      </c>
      <c r="B280" s="460">
        <v>180</v>
      </c>
      <c r="C280" s="460" t="s">
        <v>345</v>
      </c>
      <c r="D280" s="460" t="s">
        <v>602</v>
      </c>
      <c r="E280" t="s">
        <v>256</v>
      </c>
      <c r="F280" s="516">
        <v>71.599999999999994</v>
      </c>
      <c r="G280" s="516">
        <v>56.2</v>
      </c>
      <c r="H280" s="516">
        <v>66.599999999999994</v>
      </c>
      <c r="I280" s="516">
        <v>63.8</v>
      </c>
      <c r="J280" s="516">
        <v>69.8</v>
      </c>
      <c r="K280" s="516">
        <v>88.2</v>
      </c>
      <c r="L280" s="516">
        <v>95.3</v>
      </c>
      <c r="M280" s="516">
        <v>72.3</v>
      </c>
      <c r="N280" s="516">
        <v>68.099999999999994</v>
      </c>
      <c r="O280" s="516">
        <v>60.4</v>
      </c>
      <c r="P280" s="516">
        <v>75.3</v>
      </c>
      <c r="Q280" s="516">
        <v>83</v>
      </c>
      <c r="R280" s="138">
        <v>870.5</v>
      </c>
    </row>
    <row r="281" spans="1:18" x14ac:dyDescent="0.2">
      <c r="A281" t="s">
        <v>788</v>
      </c>
      <c r="B281" s="460">
        <v>46</v>
      </c>
      <c r="C281" s="460" t="s">
        <v>305</v>
      </c>
      <c r="D281" s="460" t="s">
        <v>789</v>
      </c>
      <c r="E281" t="s">
        <v>256</v>
      </c>
      <c r="F281" s="516">
        <v>58.6</v>
      </c>
      <c r="G281" s="516">
        <v>47.3</v>
      </c>
      <c r="H281" s="516">
        <v>59.8</v>
      </c>
      <c r="I281" s="516">
        <v>46.1</v>
      </c>
      <c r="J281" s="516">
        <v>67</v>
      </c>
      <c r="K281" s="516">
        <v>73.599999999999994</v>
      </c>
      <c r="L281" s="516">
        <v>74.599999999999994</v>
      </c>
      <c r="M281" s="516">
        <v>67.5</v>
      </c>
      <c r="N281" s="516">
        <v>53.7</v>
      </c>
      <c r="O281" s="516">
        <v>55</v>
      </c>
      <c r="P281" s="516">
        <v>65</v>
      </c>
      <c r="Q281" s="516">
        <v>66.900000000000006</v>
      </c>
      <c r="R281" s="138">
        <v>735.2</v>
      </c>
    </row>
    <row r="282" spans="1:18" x14ac:dyDescent="0.2">
      <c r="A282" t="s">
        <v>790</v>
      </c>
      <c r="B282" s="460">
        <v>61</v>
      </c>
      <c r="C282" s="460" t="s">
        <v>609</v>
      </c>
      <c r="D282" s="460" t="s">
        <v>447</v>
      </c>
      <c r="E282" t="s">
        <v>256</v>
      </c>
      <c r="F282" s="516">
        <v>72.7</v>
      </c>
      <c r="G282" s="516">
        <v>51.7</v>
      </c>
      <c r="H282" s="516">
        <v>65.8</v>
      </c>
      <c r="I282" s="516">
        <v>55.4</v>
      </c>
      <c r="J282" s="516">
        <v>63.9</v>
      </c>
      <c r="K282" s="516">
        <v>82.7</v>
      </c>
      <c r="L282" s="516">
        <v>74.599999999999994</v>
      </c>
      <c r="M282" s="516">
        <v>67.5</v>
      </c>
      <c r="N282" s="516">
        <v>66</v>
      </c>
      <c r="O282" s="516">
        <v>57</v>
      </c>
      <c r="P282" s="516">
        <v>74</v>
      </c>
      <c r="Q282" s="516">
        <v>82.9</v>
      </c>
      <c r="R282" s="138">
        <v>814.3</v>
      </c>
    </row>
    <row r="283" spans="1:18" x14ac:dyDescent="0.2">
      <c r="A283" t="s">
        <v>791</v>
      </c>
      <c r="B283" s="460">
        <v>63</v>
      </c>
      <c r="C283" s="460" t="s">
        <v>254</v>
      </c>
      <c r="D283" s="460" t="s">
        <v>349</v>
      </c>
      <c r="E283" t="s">
        <v>256</v>
      </c>
      <c r="F283" s="516">
        <v>59.7</v>
      </c>
      <c r="G283" s="516">
        <v>47.9</v>
      </c>
      <c r="H283" s="516">
        <v>60</v>
      </c>
      <c r="I283" s="516">
        <v>54</v>
      </c>
      <c r="J283" s="516">
        <v>72.599999999999994</v>
      </c>
      <c r="K283" s="516">
        <v>86.7</v>
      </c>
      <c r="L283" s="516">
        <v>87.8</v>
      </c>
      <c r="M283" s="516">
        <v>77</v>
      </c>
      <c r="N283" s="516">
        <v>66.5</v>
      </c>
      <c r="O283" s="516">
        <v>55.5</v>
      </c>
      <c r="P283" s="516">
        <v>64.099999999999994</v>
      </c>
      <c r="Q283" s="516">
        <v>68.099999999999994</v>
      </c>
      <c r="R283" s="138">
        <v>799.9</v>
      </c>
    </row>
    <row r="284" spans="1:18" x14ac:dyDescent="0.2">
      <c r="A284" t="s">
        <v>792</v>
      </c>
      <c r="B284" s="460">
        <v>263</v>
      </c>
      <c r="C284" s="460" t="s">
        <v>793</v>
      </c>
      <c r="D284" s="460" t="s">
        <v>478</v>
      </c>
      <c r="E284" t="s">
        <v>256</v>
      </c>
      <c r="F284" s="516">
        <v>117.5</v>
      </c>
      <c r="G284" s="516">
        <v>85.8</v>
      </c>
      <c r="H284" s="516">
        <v>100.2</v>
      </c>
      <c r="I284" s="516">
        <v>80.3</v>
      </c>
      <c r="J284" s="516">
        <v>81.5</v>
      </c>
      <c r="K284" s="516">
        <v>93.9</v>
      </c>
      <c r="L284" s="516">
        <v>97.1</v>
      </c>
      <c r="M284" s="516">
        <v>89.8</v>
      </c>
      <c r="N284" s="516">
        <v>84.7</v>
      </c>
      <c r="O284" s="516">
        <v>84.9</v>
      </c>
      <c r="P284" s="516">
        <v>107.5</v>
      </c>
      <c r="Q284" s="516">
        <v>137.69999999999999</v>
      </c>
      <c r="R284" s="138">
        <v>1160.8</v>
      </c>
    </row>
    <row r="285" spans="1:18" x14ac:dyDescent="0.2">
      <c r="A285" t="s">
        <v>794</v>
      </c>
      <c r="B285" s="460">
        <v>260</v>
      </c>
      <c r="C285" s="460" t="s">
        <v>556</v>
      </c>
      <c r="D285" s="460" t="s">
        <v>795</v>
      </c>
      <c r="E285" t="s">
        <v>256</v>
      </c>
      <c r="F285" s="516">
        <v>110.7</v>
      </c>
      <c r="G285" s="516">
        <v>84.1</v>
      </c>
      <c r="H285" s="516">
        <v>98.4</v>
      </c>
      <c r="I285" s="516">
        <v>75.5</v>
      </c>
      <c r="J285" s="516">
        <v>79.900000000000006</v>
      </c>
      <c r="K285" s="516">
        <v>91.3</v>
      </c>
      <c r="L285" s="516">
        <v>89.8</v>
      </c>
      <c r="M285" s="516">
        <v>81.8</v>
      </c>
      <c r="N285" s="516">
        <v>81.400000000000006</v>
      </c>
      <c r="O285" s="516">
        <v>78.5</v>
      </c>
      <c r="P285" s="516">
        <v>101.6</v>
      </c>
      <c r="Q285" s="516">
        <v>129.9</v>
      </c>
      <c r="R285" s="138">
        <v>1102.9000000000001</v>
      </c>
    </row>
    <row r="286" spans="1:18" x14ac:dyDescent="0.2">
      <c r="A286" t="s">
        <v>796</v>
      </c>
      <c r="B286" s="460">
        <v>410</v>
      </c>
      <c r="C286" s="460" t="s">
        <v>534</v>
      </c>
      <c r="D286" s="460" t="s">
        <v>458</v>
      </c>
      <c r="E286" t="s">
        <v>256</v>
      </c>
      <c r="F286" s="516">
        <v>101.4</v>
      </c>
      <c r="G286" s="516">
        <v>82.9</v>
      </c>
      <c r="H286" s="516">
        <v>100.5</v>
      </c>
      <c r="I286" s="516">
        <v>90.1</v>
      </c>
      <c r="J286" s="516">
        <v>92.9</v>
      </c>
      <c r="K286" s="516">
        <v>94.6</v>
      </c>
      <c r="L286" s="516">
        <v>97.3</v>
      </c>
      <c r="M286" s="516">
        <v>89.7</v>
      </c>
      <c r="N286" s="516">
        <v>70.099999999999994</v>
      </c>
      <c r="O286" s="516">
        <v>80.5</v>
      </c>
      <c r="P286" s="516">
        <v>104.4</v>
      </c>
      <c r="Q286" s="516">
        <v>111</v>
      </c>
      <c r="R286" s="138">
        <v>1115.3</v>
      </c>
    </row>
    <row r="287" spans="1:18" x14ac:dyDescent="0.2">
      <c r="A287" t="s">
        <v>797</v>
      </c>
      <c r="B287" s="460">
        <v>110</v>
      </c>
      <c r="C287" s="460" t="s">
        <v>357</v>
      </c>
      <c r="D287" s="460" t="s">
        <v>394</v>
      </c>
      <c r="E287" t="s">
        <v>256</v>
      </c>
      <c r="F287" s="516">
        <v>53.5</v>
      </c>
      <c r="G287" s="516">
        <v>44.8</v>
      </c>
      <c r="H287" s="516">
        <v>58.4</v>
      </c>
      <c r="I287" s="516">
        <v>56.6</v>
      </c>
      <c r="J287" s="516">
        <v>70.8</v>
      </c>
      <c r="K287" s="516">
        <v>85.5</v>
      </c>
      <c r="L287" s="516">
        <v>80.400000000000006</v>
      </c>
      <c r="M287" s="516">
        <v>71.5</v>
      </c>
      <c r="N287" s="516">
        <v>62.1</v>
      </c>
      <c r="O287" s="516">
        <v>48.8</v>
      </c>
      <c r="P287" s="516">
        <v>61.2</v>
      </c>
      <c r="Q287" s="516">
        <v>70.599999999999994</v>
      </c>
      <c r="R287" s="138">
        <v>764.2</v>
      </c>
    </row>
    <row r="288" spans="1:18" x14ac:dyDescent="0.2">
      <c r="A288" t="s">
        <v>798</v>
      </c>
      <c r="B288" s="460">
        <v>89</v>
      </c>
      <c r="C288" s="460" t="s">
        <v>577</v>
      </c>
      <c r="D288" s="460" t="s">
        <v>630</v>
      </c>
      <c r="E288" t="s">
        <v>256</v>
      </c>
      <c r="F288" s="516">
        <v>107</v>
      </c>
      <c r="G288" s="516">
        <v>76.5</v>
      </c>
      <c r="H288" s="516">
        <v>96.7</v>
      </c>
      <c r="I288" s="516">
        <v>76.099999999999994</v>
      </c>
      <c r="J288" s="516">
        <v>84.2</v>
      </c>
      <c r="K288" s="516">
        <v>103.2</v>
      </c>
      <c r="L288" s="516">
        <v>106.1</v>
      </c>
      <c r="M288" s="516">
        <v>88.5</v>
      </c>
      <c r="N288" s="516">
        <v>90.1</v>
      </c>
      <c r="O288" s="516">
        <v>86.2</v>
      </c>
      <c r="P288" s="516">
        <v>104.1</v>
      </c>
      <c r="Q288" s="516">
        <v>118.2</v>
      </c>
      <c r="R288" s="138">
        <v>1136.9000000000001</v>
      </c>
    </row>
    <row r="289" spans="1:18" x14ac:dyDescent="0.2">
      <c r="A289" t="s">
        <v>799</v>
      </c>
      <c r="B289" s="460">
        <v>154</v>
      </c>
      <c r="C289" s="460" t="s">
        <v>577</v>
      </c>
      <c r="D289" s="460" t="s">
        <v>352</v>
      </c>
      <c r="E289" t="s">
        <v>256</v>
      </c>
      <c r="F289" s="516">
        <v>96.2</v>
      </c>
      <c r="G289" s="516">
        <v>66.8</v>
      </c>
      <c r="H289" s="516">
        <v>90</v>
      </c>
      <c r="I289" s="516">
        <v>71.2</v>
      </c>
      <c r="J289" s="516">
        <v>82.3</v>
      </c>
      <c r="K289" s="516">
        <v>96.4</v>
      </c>
      <c r="L289" s="516">
        <v>99.1</v>
      </c>
      <c r="M289" s="516">
        <v>81.7</v>
      </c>
      <c r="N289" s="516">
        <v>80.7</v>
      </c>
      <c r="O289" s="516">
        <v>78.400000000000006</v>
      </c>
      <c r="P289" s="516">
        <v>96</v>
      </c>
      <c r="Q289" s="516">
        <v>107.5</v>
      </c>
      <c r="R289" s="138">
        <v>1046.0999999999999</v>
      </c>
    </row>
    <row r="290" spans="1:18" x14ac:dyDescent="0.2">
      <c r="A290" t="s">
        <v>800</v>
      </c>
      <c r="B290" s="460">
        <v>270</v>
      </c>
      <c r="C290" s="460" t="s">
        <v>530</v>
      </c>
      <c r="D290" s="460" t="s">
        <v>755</v>
      </c>
      <c r="E290" t="s">
        <v>256</v>
      </c>
      <c r="F290" s="516">
        <v>102.6</v>
      </c>
      <c r="G290" s="516">
        <v>73.400000000000006</v>
      </c>
      <c r="H290" s="516">
        <v>91.5</v>
      </c>
      <c r="I290" s="516">
        <v>82.2</v>
      </c>
      <c r="J290" s="516">
        <v>79.2</v>
      </c>
      <c r="K290" s="516">
        <v>101.4</v>
      </c>
      <c r="L290" s="516">
        <v>95.4</v>
      </c>
      <c r="M290" s="516">
        <v>81.599999999999994</v>
      </c>
      <c r="N290" s="516">
        <v>82.3</v>
      </c>
      <c r="O290" s="516">
        <v>82.5</v>
      </c>
      <c r="P290" s="516">
        <v>101.4</v>
      </c>
      <c r="Q290" s="516">
        <v>115.6</v>
      </c>
      <c r="R290" s="138">
        <v>1089.0999999999999</v>
      </c>
    </row>
    <row r="291" spans="1:18" x14ac:dyDescent="0.2">
      <c r="A291" t="s">
        <v>801</v>
      </c>
      <c r="B291" s="460">
        <v>50</v>
      </c>
      <c r="C291" s="460" t="s">
        <v>330</v>
      </c>
      <c r="D291" s="460" t="s">
        <v>472</v>
      </c>
      <c r="E291" t="s">
        <v>256</v>
      </c>
      <c r="F291" s="516">
        <v>71.400000000000006</v>
      </c>
      <c r="G291" s="516">
        <v>48.1</v>
      </c>
      <c r="H291" s="516">
        <v>64.400000000000006</v>
      </c>
      <c r="I291" s="516">
        <v>52.7</v>
      </c>
      <c r="J291" s="516">
        <v>63.2</v>
      </c>
      <c r="K291" s="516">
        <v>75.599999999999994</v>
      </c>
      <c r="L291" s="516">
        <v>70.2</v>
      </c>
      <c r="M291" s="516">
        <v>70.2</v>
      </c>
      <c r="N291" s="516">
        <v>64.400000000000006</v>
      </c>
      <c r="O291" s="516">
        <v>58.4</v>
      </c>
      <c r="P291" s="516">
        <v>74.2</v>
      </c>
      <c r="Q291" s="516">
        <v>80.599999999999994</v>
      </c>
      <c r="R291" s="138">
        <v>793.5</v>
      </c>
    </row>
    <row r="292" spans="1:18" x14ac:dyDescent="0.2">
      <c r="A292" t="s">
        <v>802</v>
      </c>
      <c r="B292" s="460">
        <v>64</v>
      </c>
      <c r="C292" s="460" t="s">
        <v>549</v>
      </c>
      <c r="D292" s="460" t="s">
        <v>575</v>
      </c>
      <c r="E292" t="s">
        <v>256</v>
      </c>
      <c r="F292" s="516">
        <v>71.7</v>
      </c>
      <c r="G292" s="516">
        <v>50.9</v>
      </c>
      <c r="H292" s="516">
        <v>63.3</v>
      </c>
      <c r="I292" s="516">
        <v>52.6</v>
      </c>
      <c r="J292" s="516">
        <v>64.599999999999994</v>
      </c>
      <c r="K292" s="516">
        <v>78.900000000000006</v>
      </c>
      <c r="L292" s="516">
        <v>73.400000000000006</v>
      </c>
      <c r="M292" s="516">
        <v>68.3</v>
      </c>
      <c r="N292" s="516">
        <v>63</v>
      </c>
      <c r="O292" s="516">
        <v>58.7</v>
      </c>
      <c r="P292" s="516">
        <v>74.400000000000006</v>
      </c>
      <c r="Q292" s="516">
        <v>80.400000000000006</v>
      </c>
      <c r="R292" s="138">
        <v>799.9</v>
      </c>
    </row>
    <row r="293" spans="1:18" x14ac:dyDescent="0.2">
      <c r="A293" t="s">
        <v>803</v>
      </c>
      <c r="B293" s="460">
        <v>81</v>
      </c>
      <c r="C293" s="460" t="s">
        <v>804</v>
      </c>
      <c r="D293" s="460" t="s">
        <v>805</v>
      </c>
      <c r="E293" t="s">
        <v>256</v>
      </c>
      <c r="F293" s="516">
        <v>65.5</v>
      </c>
      <c r="G293" s="516">
        <v>48.1</v>
      </c>
      <c r="H293" s="516">
        <v>59</v>
      </c>
      <c r="I293" s="516">
        <v>56</v>
      </c>
      <c r="J293" s="516">
        <v>70.3</v>
      </c>
      <c r="K293" s="516">
        <v>72.7</v>
      </c>
      <c r="L293" s="516">
        <v>74.7</v>
      </c>
      <c r="M293" s="516">
        <v>63.7</v>
      </c>
      <c r="N293" s="516">
        <v>62.8</v>
      </c>
      <c r="O293" s="516">
        <v>55.3</v>
      </c>
      <c r="P293" s="516">
        <v>68.2</v>
      </c>
      <c r="Q293" s="516">
        <v>79.099999999999994</v>
      </c>
      <c r="R293" s="138">
        <v>775.5</v>
      </c>
    </row>
    <row r="294" spans="1:18" x14ac:dyDescent="0.2">
      <c r="A294" t="s">
        <v>806</v>
      </c>
      <c r="B294" s="460">
        <v>144</v>
      </c>
      <c r="C294" s="460" t="s">
        <v>290</v>
      </c>
      <c r="D294" s="460" t="s">
        <v>704</v>
      </c>
      <c r="E294" t="s">
        <v>256</v>
      </c>
      <c r="F294" s="516">
        <v>76</v>
      </c>
      <c r="G294" s="516">
        <v>54.4</v>
      </c>
      <c r="H294" s="516">
        <v>66.3</v>
      </c>
      <c r="I294" s="516">
        <v>57.5</v>
      </c>
      <c r="J294" s="516">
        <v>71.099999999999994</v>
      </c>
      <c r="K294" s="516">
        <v>80.5</v>
      </c>
      <c r="L294" s="516">
        <v>75.3</v>
      </c>
      <c r="M294" s="516">
        <v>72.3</v>
      </c>
      <c r="N294" s="516">
        <v>63.6</v>
      </c>
      <c r="O294" s="516">
        <v>52.6</v>
      </c>
      <c r="P294" s="516">
        <v>72.8</v>
      </c>
      <c r="Q294" s="516">
        <v>88.1</v>
      </c>
      <c r="R294" s="138">
        <v>830.5</v>
      </c>
    </row>
    <row r="295" spans="1:18" x14ac:dyDescent="0.2">
      <c r="A295" t="s">
        <v>807</v>
      </c>
      <c r="B295" s="460">
        <v>182</v>
      </c>
      <c r="C295" s="460" t="s">
        <v>455</v>
      </c>
      <c r="D295" s="460" t="s">
        <v>462</v>
      </c>
      <c r="E295" t="s">
        <v>256</v>
      </c>
      <c r="F295" s="516">
        <v>66.8</v>
      </c>
      <c r="G295" s="516">
        <v>60.8</v>
      </c>
      <c r="H295" s="516">
        <v>68.5</v>
      </c>
      <c r="I295" s="516">
        <v>65.2</v>
      </c>
      <c r="J295" s="516">
        <v>75.099999999999994</v>
      </c>
      <c r="K295" s="516">
        <v>79.8</v>
      </c>
      <c r="L295" s="516">
        <v>73.900000000000006</v>
      </c>
      <c r="M295" s="516">
        <v>68.7</v>
      </c>
      <c r="N295" s="516">
        <v>61.9</v>
      </c>
      <c r="O295" s="516">
        <v>59</v>
      </c>
      <c r="P295" s="516">
        <v>73</v>
      </c>
      <c r="Q295" s="516">
        <v>76.2</v>
      </c>
      <c r="R295" s="138">
        <v>828.9</v>
      </c>
    </row>
    <row r="296" spans="1:18" x14ac:dyDescent="0.2">
      <c r="A296" t="s">
        <v>808</v>
      </c>
      <c r="B296" s="460">
        <v>45</v>
      </c>
      <c r="C296" s="460" t="s">
        <v>467</v>
      </c>
      <c r="D296" s="460" t="s">
        <v>809</v>
      </c>
      <c r="E296" t="s">
        <v>256</v>
      </c>
      <c r="F296" s="516">
        <v>58.1</v>
      </c>
      <c r="G296" s="516">
        <v>41.3</v>
      </c>
      <c r="H296" s="516">
        <v>60.6</v>
      </c>
      <c r="I296" s="516">
        <v>51.4</v>
      </c>
      <c r="J296" s="516">
        <v>67.599999999999994</v>
      </c>
      <c r="K296" s="516">
        <v>74.900000000000006</v>
      </c>
      <c r="L296" s="516">
        <v>71.5</v>
      </c>
      <c r="M296" s="516">
        <v>62.9</v>
      </c>
      <c r="N296" s="516">
        <v>52.8</v>
      </c>
      <c r="O296" s="516">
        <v>53.7</v>
      </c>
      <c r="P296" s="516">
        <v>64.7</v>
      </c>
      <c r="Q296" s="516">
        <v>64.3</v>
      </c>
      <c r="R296" s="138">
        <v>724</v>
      </c>
    </row>
    <row r="297" spans="1:18" x14ac:dyDescent="0.2">
      <c r="A297" t="s">
        <v>810</v>
      </c>
      <c r="B297" s="460">
        <v>145</v>
      </c>
      <c r="C297" s="460" t="s">
        <v>293</v>
      </c>
      <c r="D297" s="460" t="s">
        <v>707</v>
      </c>
      <c r="E297" t="s">
        <v>256</v>
      </c>
      <c r="F297" s="516">
        <v>67.099999999999994</v>
      </c>
      <c r="G297" s="516">
        <v>49.8</v>
      </c>
      <c r="H297" s="516">
        <v>65</v>
      </c>
      <c r="I297" s="516">
        <v>61.9</v>
      </c>
      <c r="J297" s="516">
        <v>75.7</v>
      </c>
      <c r="K297" s="516">
        <v>79.400000000000006</v>
      </c>
      <c r="L297" s="516">
        <v>84.2</v>
      </c>
      <c r="M297" s="516">
        <v>77.7</v>
      </c>
      <c r="N297" s="516">
        <v>63.6</v>
      </c>
      <c r="O297" s="516">
        <v>54.9</v>
      </c>
      <c r="P297" s="516">
        <v>73.900000000000006</v>
      </c>
      <c r="Q297" s="516">
        <v>82.8</v>
      </c>
      <c r="R297" s="138">
        <v>835.9</v>
      </c>
    </row>
    <row r="298" spans="1:18" x14ac:dyDescent="0.2">
      <c r="A298" t="s">
        <v>811</v>
      </c>
      <c r="B298" s="460">
        <v>310</v>
      </c>
      <c r="C298" s="460" t="s">
        <v>272</v>
      </c>
      <c r="D298" s="460" t="s">
        <v>812</v>
      </c>
      <c r="E298" t="s">
        <v>256</v>
      </c>
      <c r="F298" s="516">
        <v>96.8</v>
      </c>
      <c r="G298" s="516">
        <v>68.599999999999994</v>
      </c>
      <c r="H298" s="516">
        <v>90.1</v>
      </c>
      <c r="I298" s="516">
        <v>78.2</v>
      </c>
      <c r="J298" s="516">
        <v>85</v>
      </c>
      <c r="K298" s="516">
        <v>94.8</v>
      </c>
      <c r="L298" s="516">
        <v>100</v>
      </c>
      <c r="M298" s="516">
        <v>73.099999999999994</v>
      </c>
      <c r="N298" s="516">
        <v>78.099999999999994</v>
      </c>
      <c r="O298" s="516">
        <v>75.400000000000006</v>
      </c>
      <c r="P298" s="516">
        <v>95.8</v>
      </c>
      <c r="Q298" s="516">
        <v>108.7</v>
      </c>
      <c r="R298" s="138">
        <v>1044.7</v>
      </c>
    </row>
    <row r="299" spans="1:18" x14ac:dyDescent="0.2">
      <c r="A299" t="s">
        <v>813</v>
      </c>
      <c r="B299" s="460">
        <v>360</v>
      </c>
      <c r="C299" s="460" t="s">
        <v>530</v>
      </c>
      <c r="D299" s="460" t="s">
        <v>634</v>
      </c>
      <c r="E299" t="s">
        <v>256</v>
      </c>
      <c r="F299" s="516">
        <v>88.7</v>
      </c>
      <c r="G299" s="516">
        <v>62.6</v>
      </c>
      <c r="H299" s="516">
        <v>79.599999999999994</v>
      </c>
      <c r="I299" s="516">
        <v>74.099999999999994</v>
      </c>
      <c r="J299" s="516">
        <v>81.400000000000006</v>
      </c>
      <c r="K299" s="516">
        <v>94.7</v>
      </c>
      <c r="L299" s="516">
        <v>101.9</v>
      </c>
      <c r="M299" s="516">
        <v>79.900000000000006</v>
      </c>
      <c r="N299" s="516">
        <v>70</v>
      </c>
      <c r="O299" s="516">
        <v>69.5</v>
      </c>
      <c r="P299" s="516">
        <v>87.8</v>
      </c>
      <c r="Q299" s="516">
        <v>99.7</v>
      </c>
      <c r="R299" s="138">
        <v>989.9</v>
      </c>
    </row>
    <row r="300" spans="1:18" x14ac:dyDescent="0.2">
      <c r="A300" t="s">
        <v>814</v>
      </c>
      <c r="B300" s="460">
        <v>340</v>
      </c>
      <c r="C300" s="460" t="s">
        <v>378</v>
      </c>
      <c r="D300" s="460" t="s">
        <v>812</v>
      </c>
      <c r="E300" t="s">
        <v>256</v>
      </c>
      <c r="F300" s="516">
        <v>86.5</v>
      </c>
      <c r="G300" s="516">
        <v>65.400000000000006</v>
      </c>
      <c r="H300" s="516">
        <v>80.599999999999994</v>
      </c>
      <c r="I300" s="516">
        <v>73.599999999999994</v>
      </c>
      <c r="J300" s="516">
        <v>83.5</v>
      </c>
      <c r="K300" s="516">
        <v>99.2</v>
      </c>
      <c r="L300" s="516">
        <v>102.8</v>
      </c>
      <c r="M300" s="516">
        <v>78</v>
      </c>
      <c r="N300" s="516">
        <v>71.900000000000006</v>
      </c>
      <c r="O300" s="516">
        <v>68.900000000000006</v>
      </c>
      <c r="P300" s="516">
        <v>89.2</v>
      </c>
      <c r="Q300" s="516">
        <v>101.4</v>
      </c>
      <c r="R300" s="138">
        <v>1001</v>
      </c>
    </row>
    <row r="301" spans="1:18" x14ac:dyDescent="0.2">
      <c r="A301" t="s">
        <v>815</v>
      </c>
      <c r="B301" s="460">
        <v>570</v>
      </c>
      <c r="C301" s="460" t="s">
        <v>370</v>
      </c>
      <c r="D301" s="460" t="s">
        <v>816</v>
      </c>
      <c r="E301" t="s">
        <v>256</v>
      </c>
      <c r="F301" s="516">
        <v>127.8</v>
      </c>
      <c r="G301" s="516">
        <v>95.1</v>
      </c>
      <c r="H301" s="516">
        <v>112.2</v>
      </c>
      <c r="I301" s="516">
        <v>92.8</v>
      </c>
      <c r="J301" s="516">
        <v>95</v>
      </c>
      <c r="K301" s="516">
        <v>123</v>
      </c>
      <c r="L301" s="516">
        <v>128.30000000000001</v>
      </c>
      <c r="M301" s="516">
        <v>112.8</v>
      </c>
      <c r="N301" s="516">
        <v>93.9</v>
      </c>
      <c r="O301" s="516">
        <v>93.7</v>
      </c>
      <c r="P301" s="516">
        <v>126.5</v>
      </c>
      <c r="Q301" s="516">
        <v>141.4</v>
      </c>
      <c r="R301" s="138">
        <v>1342.4</v>
      </c>
    </row>
    <row r="302" spans="1:18" x14ac:dyDescent="0.2">
      <c r="A302" t="s">
        <v>817</v>
      </c>
      <c r="B302" s="460">
        <v>157</v>
      </c>
      <c r="C302" s="460" t="s">
        <v>818</v>
      </c>
      <c r="D302" s="460" t="s">
        <v>675</v>
      </c>
      <c r="E302" t="s">
        <v>256</v>
      </c>
      <c r="F302" s="516">
        <v>71.7</v>
      </c>
      <c r="G302" s="516">
        <v>51.2</v>
      </c>
      <c r="H302" s="516">
        <v>60.3</v>
      </c>
      <c r="I302" s="516">
        <v>51.5</v>
      </c>
      <c r="J302" s="516">
        <v>68.2</v>
      </c>
      <c r="K302" s="516">
        <v>83.9</v>
      </c>
      <c r="L302" s="516">
        <v>76.2</v>
      </c>
      <c r="M302" s="516">
        <v>72.400000000000006</v>
      </c>
      <c r="N302" s="516">
        <v>64.5</v>
      </c>
      <c r="O302" s="516">
        <v>58.2</v>
      </c>
      <c r="P302" s="516">
        <v>72.099999999999994</v>
      </c>
      <c r="Q302" s="516">
        <v>81.599999999999994</v>
      </c>
      <c r="R302" s="138">
        <v>811.9</v>
      </c>
    </row>
    <row r="303" spans="1:18" x14ac:dyDescent="0.2">
      <c r="A303" t="s">
        <v>819</v>
      </c>
      <c r="B303" s="460">
        <v>55</v>
      </c>
      <c r="C303" s="460" t="s">
        <v>330</v>
      </c>
      <c r="D303" s="460" t="s">
        <v>710</v>
      </c>
      <c r="E303" t="s">
        <v>256</v>
      </c>
      <c r="F303" s="516">
        <v>61</v>
      </c>
      <c r="G303" s="516">
        <v>45.3</v>
      </c>
      <c r="H303" s="516">
        <v>57</v>
      </c>
      <c r="I303" s="516">
        <v>52.8</v>
      </c>
      <c r="J303" s="516">
        <v>59.7</v>
      </c>
      <c r="K303" s="516">
        <v>77.3</v>
      </c>
      <c r="L303" s="516">
        <v>67.7</v>
      </c>
      <c r="M303" s="516">
        <v>62.3</v>
      </c>
      <c r="N303" s="516">
        <v>60.6</v>
      </c>
      <c r="O303" s="516">
        <v>51.4</v>
      </c>
      <c r="P303" s="516">
        <v>63.5</v>
      </c>
      <c r="Q303" s="516">
        <v>71.3</v>
      </c>
      <c r="R303" s="138">
        <v>729.9</v>
      </c>
    </row>
    <row r="304" spans="1:18" x14ac:dyDescent="0.2">
      <c r="A304" t="s">
        <v>820</v>
      </c>
      <c r="B304" s="460">
        <v>37</v>
      </c>
      <c r="C304" s="460" t="s">
        <v>272</v>
      </c>
      <c r="D304" s="460" t="s">
        <v>535</v>
      </c>
      <c r="E304" t="s">
        <v>256</v>
      </c>
      <c r="F304" s="516">
        <v>66.7</v>
      </c>
      <c r="G304" s="516">
        <v>52</v>
      </c>
      <c r="H304" s="516">
        <v>67.3</v>
      </c>
      <c r="I304" s="516">
        <v>53.6</v>
      </c>
      <c r="J304" s="516">
        <v>69.599999999999994</v>
      </c>
      <c r="K304" s="516">
        <v>83.6</v>
      </c>
      <c r="L304" s="516">
        <v>76</v>
      </c>
      <c r="M304" s="516">
        <v>64.3</v>
      </c>
      <c r="N304" s="516">
        <v>58.1</v>
      </c>
      <c r="O304" s="516">
        <v>56.1</v>
      </c>
      <c r="P304" s="516">
        <v>67.5</v>
      </c>
      <c r="Q304" s="516">
        <v>75.5</v>
      </c>
      <c r="R304" s="138">
        <v>790.4</v>
      </c>
    </row>
    <row r="305" spans="1:18" x14ac:dyDescent="0.2">
      <c r="A305" t="s">
        <v>821</v>
      </c>
      <c r="B305" s="460">
        <v>220</v>
      </c>
      <c r="C305" s="460" t="s">
        <v>278</v>
      </c>
      <c r="D305" s="460" t="s">
        <v>300</v>
      </c>
      <c r="E305" t="s">
        <v>256</v>
      </c>
      <c r="F305" s="516">
        <v>100.8</v>
      </c>
      <c r="G305" s="516">
        <v>73.900000000000006</v>
      </c>
      <c r="H305" s="516">
        <v>86.6</v>
      </c>
      <c r="I305" s="516">
        <v>79.7</v>
      </c>
      <c r="J305" s="516">
        <v>78.599999999999994</v>
      </c>
      <c r="K305" s="516">
        <v>101.2</v>
      </c>
      <c r="L305" s="516">
        <v>96.8</v>
      </c>
      <c r="M305" s="516">
        <v>83.7</v>
      </c>
      <c r="N305" s="516">
        <v>83.1</v>
      </c>
      <c r="O305" s="516">
        <v>80</v>
      </c>
      <c r="P305" s="516">
        <v>100.2</v>
      </c>
      <c r="Q305" s="516">
        <v>107.1</v>
      </c>
      <c r="R305" s="138">
        <v>1071.8</v>
      </c>
    </row>
    <row r="306" spans="1:18" x14ac:dyDescent="0.2">
      <c r="A306" t="s">
        <v>822</v>
      </c>
      <c r="B306" s="460">
        <v>392</v>
      </c>
      <c r="C306" s="460" t="s">
        <v>432</v>
      </c>
      <c r="D306" s="460" t="s">
        <v>273</v>
      </c>
      <c r="E306" t="s">
        <v>256</v>
      </c>
      <c r="F306" s="516">
        <v>126.9</v>
      </c>
      <c r="G306" s="516">
        <v>92.4</v>
      </c>
      <c r="H306" s="516">
        <v>112.4</v>
      </c>
      <c r="I306" s="516">
        <v>83.9</v>
      </c>
      <c r="J306" s="516">
        <v>87.5</v>
      </c>
      <c r="K306" s="516">
        <v>103.2</v>
      </c>
      <c r="L306" s="516">
        <v>106.9</v>
      </c>
      <c r="M306" s="516">
        <v>89.3</v>
      </c>
      <c r="N306" s="516">
        <v>96.2</v>
      </c>
      <c r="O306" s="516">
        <v>92.3</v>
      </c>
      <c r="P306" s="516">
        <v>121.9</v>
      </c>
      <c r="Q306" s="516">
        <v>137.69999999999999</v>
      </c>
      <c r="R306" s="138">
        <v>1250.5999999999999</v>
      </c>
    </row>
    <row r="307" spans="1:18" x14ac:dyDescent="0.2">
      <c r="A307" t="s">
        <v>823</v>
      </c>
      <c r="B307" s="460">
        <v>65</v>
      </c>
      <c r="C307" s="460" t="s">
        <v>804</v>
      </c>
      <c r="D307" s="460" t="s">
        <v>465</v>
      </c>
      <c r="E307" t="s">
        <v>256</v>
      </c>
      <c r="F307" s="516">
        <v>67.400000000000006</v>
      </c>
      <c r="G307" s="516">
        <v>49.5</v>
      </c>
      <c r="H307" s="516">
        <v>57.8</v>
      </c>
      <c r="I307" s="516">
        <v>53.7</v>
      </c>
      <c r="J307" s="516">
        <v>67.2</v>
      </c>
      <c r="K307" s="516">
        <v>75.400000000000006</v>
      </c>
      <c r="L307" s="516">
        <v>73.599999999999994</v>
      </c>
      <c r="M307" s="516">
        <v>62.1</v>
      </c>
      <c r="N307" s="516">
        <v>60.3</v>
      </c>
      <c r="O307" s="516">
        <v>54.4</v>
      </c>
      <c r="P307" s="516">
        <v>67.400000000000006</v>
      </c>
      <c r="Q307" s="516">
        <v>78.900000000000006</v>
      </c>
      <c r="R307" s="138">
        <v>767.8</v>
      </c>
    </row>
    <row r="308" spans="1:18" x14ac:dyDescent="0.2">
      <c r="A308" t="s">
        <v>824</v>
      </c>
      <c r="B308" s="460">
        <v>60</v>
      </c>
      <c r="C308" s="460" t="s">
        <v>464</v>
      </c>
      <c r="D308" s="460" t="s">
        <v>485</v>
      </c>
      <c r="E308" t="s">
        <v>256</v>
      </c>
      <c r="F308" s="516">
        <v>62</v>
      </c>
      <c r="G308" s="516">
        <v>46.3</v>
      </c>
      <c r="H308" s="516">
        <v>61.7</v>
      </c>
      <c r="I308" s="516">
        <v>50.1</v>
      </c>
      <c r="J308" s="516">
        <v>68.8</v>
      </c>
      <c r="K308" s="516">
        <v>76.7</v>
      </c>
      <c r="L308" s="516">
        <v>70.599999999999994</v>
      </c>
      <c r="M308" s="516">
        <v>58.5</v>
      </c>
      <c r="N308" s="516">
        <v>51.7</v>
      </c>
      <c r="O308" s="516">
        <v>53.2</v>
      </c>
      <c r="P308" s="516">
        <v>64.5</v>
      </c>
      <c r="Q308" s="516">
        <v>65.8</v>
      </c>
      <c r="R308" s="138">
        <v>729.9</v>
      </c>
    </row>
    <row r="309" spans="1:18" x14ac:dyDescent="0.2">
      <c r="A309" t="s">
        <v>825</v>
      </c>
      <c r="B309" s="460">
        <v>101</v>
      </c>
      <c r="C309" s="460" t="s">
        <v>451</v>
      </c>
      <c r="D309" s="460" t="s">
        <v>646</v>
      </c>
      <c r="E309" t="s">
        <v>256</v>
      </c>
      <c r="F309" s="516">
        <v>69.2</v>
      </c>
      <c r="G309" s="516">
        <v>51.3</v>
      </c>
      <c r="H309" s="516">
        <v>62.8</v>
      </c>
      <c r="I309" s="516">
        <v>59.4</v>
      </c>
      <c r="J309" s="516">
        <v>71.599999999999994</v>
      </c>
      <c r="K309" s="516">
        <v>82.1</v>
      </c>
      <c r="L309" s="516">
        <v>74.900000000000006</v>
      </c>
      <c r="M309" s="516">
        <v>71.599999999999994</v>
      </c>
      <c r="N309" s="516">
        <v>67</v>
      </c>
      <c r="O309" s="516">
        <v>55.2</v>
      </c>
      <c r="P309" s="516">
        <v>67.900000000000006</v>
      </c>
      <c r="Q309" s="516">
        <v>79.7</v>
      </c>
      <c r="R309" s="138">
        <v>812.7</v>
      </c>
    </row>
    <row r="310" spans="1:18" x14ac:dyDescent="0.2">
      <c r="A310" t="s">
        <v>826</v>
      </c>
      <c r="B310" s="460">
        <v>24</v>
      </c>
      <c r="C310" s="460" t="s">
        <v>357</v>
      </c>
      <c r="D310" s="460" t="s">
        <v>827</v>
      </c>
      <c r="E310" t="s">
        <v>256</v>
      </c>
      <c r="F310" s="516">
        <v>67.7</v>
      </c>
      <c r="G310" s="516">
        <v>48.9</v>
      </c>
      <c r="H310" s="516">
        <v>64.599999999999994</v>
      </c>
      <c r="I310" s="516">
        <v>53.7</v>
      </c>
      <c r="J310" s="516">
        <v>71.099999999999994</v>
      </c>
      <c r="K310" s="516">
        <v>76.400000000000006</v>
      </c>
      <c r="L310" s="516">
        <v>75.2</v>
      </c>
      <c r="M310" s="516">
        <v>63.8</v>
      </c>
      <c r="N310" s="516">
        <v>65.3</v>
      </c>
      <c r="O310" s="516">
        <v>54.8</v>
      </c>
      <c r="P310" s="516">
        <v>75.599999999999994</v>
      </c>
      <c r="Q310" s="516">
        <v>78</v>
      </c>
      <c r="R310" s="138">
        <v>795.2</v>
      </c>
    </row>
    <row r="311" spans="1:18" x14ac:dyDescent="0.2">
      <c r="A311" t="s">
        <v>828</v>
      </c>
      <c r="B311" s="460">
        <v>220</v>
      </c>
      <c r="C311" s="460" t="s">
        <v>757</v>
      </c>
      <c r="D311" s="460" t="s">
        <v>355</v>
      </c>
      <c r="E311" t="s">
        <v>256</v>
      </c>
      <c r="F311" s="516">
        <v>48.7</v>
      </c>
      <c r="G311" s="516">
        <v>41.9</v>
      </c>
      <c r="H311" s="516">
        <v>50.8</v>
      </c>
      <c r="I311" s="516">
        <v>55.2</v>
      </c>
      <c r="J311" s="516">
        <v>65.5</v>
      </c>
      <c r="K311" s="516">
        <v>77.900000000000006</v>
      </c>
      <c r="L311" s="516">
        <v>76.3</v>
      </c>
      <c r="M311" s="516">
        <v>72.5</v>
      </c>
      <c r="N311" s="516">
        <v>54.9</v>
      </c>
      <c r="O311" s="516">
        <v>49.7</v>
      </c>
      <c r="P311" s="516">
        <v>56.6</v>
      </c>
      <c r="Q311" s="516">
        <v>57.6</v>
      </c>
      <c r="R311" s="138">
        <v>707.5</v>
      </c>
    </row>
    <row r="312" spans="1:18" x14ac:dyDescent="0.2">
      <c r="A312" t="s">
        <v>829</v>
      </c>
      <c r="B312" s="460">
        <v>92</v>
      </c>
      <c r="C312" s="460" t="s">
        <v>419</v>
      </c>
      <c r="D312" s="460" t="s">
        <v>460</v>
      </c>
      <c r="E312" t="s">
        <v>256</v>
      </c>
      <c r="F312" s="516">
        <v>62.2</v>
      </c>
      <c r="G312" s="516">
        <v>45.6</v>
      </c>
      <c r="H312" s="516">
        <v>60</v>
      </c>
      <c r="I312" s="516">
        <v>56.3</v>
      </c>
      <c r="J312" s="516">
        <v>65.900000000000006</v>
      </c>
      <c r="K312" s="516">
        <v>77.099999999999994</v>
      </c>
      <c r="L312" s="516">
        <v>72.2</v>
      </c>
      <c r="M312" s="516">
        <v>66.2</v>
      </c>
      <c r="N312" s="516">
        <v>59.5</v>
      </c>
      <c r="O312" s="516">
        <v>50.6</v>
      </c>
      <c r="P312" s="516">
        <v>66.400000000000006</v>
      </c>
      <c r="Q312" s="516">
        <v>75.2</v>
      </c>
      <c r="R312" s="138">
        <v>757.4</v>
      </c>
    </row>
    <row r="313" spans="1:18" x14ac:dyDescent="0.2">
      <c r="A313" t="s">
        <v>830</v>
      </c>
      <c r="B313" s="460">
        <v>628</v>
      </c>
      <c r="C313" s="460" t="s">
        <v>593</v>
      </c>
      <c r="D313" s="460" t="s">
        <v>831</v>
      </c>
      <c r="E313" t="s">
        <v>256</v>
      </c>
      <c r="F313" s="516">
        <v>118.8</v>
      </c>
      <c r="G313" s="516">
        <v>98.8</v>
      </c>
      <c r="H313" s="516">
        <v>109.5</v>
      </c>
      <c r="I313" s="516">
        <v>90.7</v>
      </c>
      <c r="J313" s="516">
        <v>87.7</v>
      </c>
      <c r="K313" s="516">
        <v>89.9</v>
      </c>
      <c r="L313" s="516">
        <v>104.1</v>
      </c>
      <c r="M313" s="516">
        <v>93.4</v>
      </c>
      <c r="N313" s="516">
        <v>78.900000000000006</v>
      </c>
      <c r="O313" s="516">
        <v>89.3</v>
      </c>
      <c r="P313" s="516">
        <v>121.5</v>
      </c>
      <c r="Q313" s="516">
        <v>137.69999999999999</v>
      </c>
      <c r="R313" s="138">
        <v>1220.4000000000001</v>
      </c>
    </row>
    <row r="314" spans="1:18" x14ac:dyDescent="0.2">
      <c r="A314" t="s">
        <v>832</v>
      </c>
      <c r="B314" s="460">
        <v>295</v>
      </c>
      <c r="C314" s="460" t="s">
        <v>793</v>
      </c>
      <c r="D314" s="460" t="s">
        <v>585</v>
      </c>
      <c r="E314" t="s">
        <v>256</v>
      </c>
      <c r="F314" s="516">
        <v>105.3</v>
      </c>
      <c r="G314" s="516">
        <v>77.400000000000006</v>
      </c>
      <c r="H314" s="516">
        <v>99.1</v>
      </c>
      <c r="I314" s="516">
        <v>76.7</v>
      </c>
      <c r="J314" s="516">
        <v>80</v>
      </c>
      <c r="K314" s="516">
        <v>98.5</v>
      </c>
      <c r="L314" s="516">
        <v>93.7</v>
      </c>
      <c r="M314" s="516">
        <v>82.3</v>
      </c>
      <c r="N314" s="516">
        <v>80.8</v>
      </c>
      <c r="O314" s="516">
        <v>78.8</v>
      </c>
      <c r="P314" s="516">
        <v>102.3</v>
      </c>
      <c r="Q314" s="516">
        <v>127.4</v>
      </c>
      <c r="R314" s="138">
        <v>1102.4000000000001</v>
      </c>
    </row>
    <row r="315" spans="1:18" x14ac:dyDescent="0.2">
      <c r="A315" t="s">
        <v>833</v>
      </c>
      <c r="B315" s="460">
        <v>41</v>
      </c>
      <c r="C315" s="460" t="s">
        <v>317</v>
      </c>
      <c r="D315" s="460" t="s">
        <v>834</v>
      </c>
      <c r="E315" t="s">
        <v>256</v>
      </c>
      <c r="F315" s="516">
        <v>52.9</v>
      </c>
      <c r="G315" s="516">
        <v>44.9</v>
      </c>
      <c r="H315" s="516">
        <v>56.9</v>
      </c>
      <c r="I315" s="516">
        <v>44</v>
      </c>
      <c r="J315" s="516">
        <v>66.7</v>
      </c>
      <c r="K315" s="516">
        <v>73.5</v>
      </c>
      <c r="L315" s="516">
        <v>71</v>
      </c>
      <c r="M315" s="516">
        <v>62.8</v>
      </c>
      <c r="N315" s="516">
        <v>51.8</v>
      </c>
      <c r="O315" s="516">
        <v>51.5</v>
      </c>
      <c r="P315" s="516">
        <v>64.3</v>
      </c>
      <c r="Q315" s="516">
        <v>60.7</v>
      </c>
      <c r="R315" s="138">
        <v>701</v>
      </c>
    </row>
    <row r="316" spans="1:18" x14ac:dyDescent="0.2">
      <c r="A316" t="s">
        <v>835</v>
      </c>
      <c r="B316" s="460">
        <v>73</v>
      </c>
      <c r="C316" s="460" t="s">
        <v>640</v>
      </c>
      <c r="D316" s="460" t="s">
        <v>644</v>
      </c>
      <c r="E316" t="s">
        <v>256</v>
      </c>
      <c r="F316" s="516">
        <v>67.8</v>
      </c>
      <c r="G316" s="516">
        <v>49.3</v>
      </c>
      <c r="H316" s="516">
        <v>64.099999999999994</v>
      </c>
      <c r="I316" s="516">
        <v>56.6</v>
      </c>
      <c r="J316" s="516">
        <v>63.9</v>
      </c>
      <c r="K316" s="516">
        <v>81.900000000000006</v>
      </c>
      <c r="L316" s="516">
        <v>82</v>
      </c>
      <c r="M316" s="516">
        <v>65.400000000000006</v>
      </c>
      <c r="N316" s="516">
        <v>68.5</v>
      </c>
      <c r="O316" s="516">
        <v>58.2</v>
      </c>
      <c r="P316" s="516">
        <v>72.3</v>
      </c>
      <c r="Q316" s="516">
        <v>83.1</v>
      </c>
      <c r="R316" s="138">
        <v>813</v>
      </c>
    </row>
    <row r="317" spans="1:18" x14ac:dyDescent="0.2">
      <c r="A317" t="s">
        <v>836</v>
      </c>
      <c r="B317" s="460">
        <v>65</v>
      </c>
      <c r="C317" s="460" t="s">
        <v>640</v>
      </c>
      <c r="D317" s="460" t="s">
        <v>346</v>
      </c>
      <c r="E317" t="s">
        <v>256</v>
      </c>
      <c r="F317" s="516">
        <v>61.3</v>
      </c>
      <c r="G317" s="516">
        <v>44.5</v>
      </c>
      <c r="H317" s="516">
        <v>60.1</v>
      </c>
      <c r="I317" s="516">
        <v>51.7</v>
      </c>
      <c r="J317" s="516">
        <v>61.7</v>
      </c>
      <c r="K317" s="516">
        <v>78.8</v>
      </c>
      <c r="L317" s="516">
        <v>87</v>
      </c>
      <c r="M317" s="516">
        <v>68.2</v>
      </c>
      <c r="N317" s="516">
        <v>66.400000000000006</v>
      </c>
      <c r="O317" s="516">
        <v>57.9</v>
      </c>
      <c r="P317" s="516">
        <v>66.8</v>
      </c>
      <c r="Q317" s="516">
        <v>73.3</v>
      </c>
      <c r="R317" s="138">
        <v>777.9</v>
      </c>
    </row>
    <row r="318" spans="1:18" x14ac:dyDescent="0.2">
      <c r="A318" t="s">
        <v>837</v>
      </c>
      <c r="B318" s="460">
        <v>225</v>
      </c>
      <c r="C318" s="460" t="s">
        <v>684</v>
      </c>
      <c r="D318" s="460" t="s">
        <v>368</v>
      </c>
      <c r="E318" t="s">
        <v>256</v>
      </c>
      <c r="F318" s="516">
        <v>51.3</v>
      </c>
      <c r="G318" s="516">
        <v>41.1</v>
      </c>
      <c r="H318" s="516">
        <v>51.8</v>
      </c>
      <c r="I318" s="516">
        <v>51.1</v>
      </c>
      <c r="J318" s="516">
        <v>71.900000000000006</v>
      </c>
      <c r="K318" s="516">
        <v>75.400000000000006</v>
      </c>
      <c r="L318" s="516">
        <v>69.3</v>
      </c>
      <c r="M318" s="516">
        <v>64</v>
      </c>
      <c r="N318" s="516">
        <v>52</v>
      </c>
      <c r="O318" s="516">
        <v>42.9</v>
      </c>
      <c r="P318" s="516">
        <v>54.7</v>
      </c>
      <c r="Q318" s="516">
        <v>63.4</v>
      </c>
      <c r="R318" s="138">
        <v>689.1</v>
      </c>
    </row>
    <row r="319" spans="1:18" x14ac:dyDescent="0.2">
      <c r="A319" t="s">
        <v>838</v>
      </c>
      <c r="B319" s="460">
        <v>240</v>
      </c>
      <c r="C319" s="460" t="s">
        <v>390</v>
      </c>
      <c r="D319" s="460" t="s">
        <v>739</v>
      </c>
      <c r="E319" t="s">
        <v>256</v>
      </c>
      <c r="F319" s="516">
        <v>59.3</v>
      </c>
      <c r="G319" s="516">
        <v>47.7</v>
      </c>
      <c r="H319" s="516">
        <v>54.9</v>
      </c>
      <c r="I319" s="516">
        <v>49.8</v>
      </c>
      <c r="J319" s="516">
        <v>64.5</v>
      </c>
      <c r="K319" s="516">
        <v>75.3</v>
      </c>
      <c r="L319" s="516">
        <v>68.099999999999994</v>
      </c>
      <c r="M319" s="516">
        <v>63.5</v>
      </c>
      <c r="N319" s="516">
        <v>53.9</v>
      </c>
      <c r="O319" s="516">
        <v>45.8</v>
      </c>
      <c r="P319" s="516">
        <v>61.2</v>
      </c>
      <c r="Q319" s="516">
        <v>72.599999999999994</v>
      </c>
      <c r="R319" s="138">
        <v>716.7</v>
      </c>
    </row>
    <row r="320" spans="1:18" x14ac:dyDescent="0.2">
      <c r="A320" t="s">
        <v>839</v>
      </c>
      <c r="B320" s="460">
        <v>53</v>
      </c>
      <c r="C320" s="460" t="s">
        <v>396</v>
      </c>
      <c r="D320" s="460" t="s">
        <v>294</v>
      </c>
      <c r="E320" t="s">
        <v>256</v>
      </c>
      <c r="F320" s="516">
        <v>58.5</v>
      </c>
      <c r="G320" s="516">
        <v>42.6</v>
      </c>
      <c r="H320" s="516">
        <v>54.6</v>
      </c>
      <c r="I320" s="516">
        <v>51.4</v>
      </c>
      <c r="J320" s="516">
        <v>65.599999999999994</v>
      </c>
      <c r="K320" s="516">
        <v>77.599999999999994</v>
      </c>
      <c r="L320" s="516">
        <v>71.599999999999994</v>
      </c>
      <c r="M320" s="516">
        <v>59.1</v>
      </c>
      <c r="N320" s="516">
        <v>61.9</v>
      </c>
      <c r="O320" s="516">
        <v>50.1</v>
      </c>
      <c r="P320" s="516">
        <v>62.8</v>
      </c>
      <c r="Q320" s="516">
        <v>70.099999999999994</v>
      </c>
      <c r="R320" s="138">
        <v>725.9</v>
      </c>
    </row>
    <row r="321" spans="1:18" x14ac:dyDescent="0.2">
      <c r="A321" t="s">
        <v>840</v>
      </c>
      <c r="B321" s="460">
        <v>64</v>
      </c>
      <c r="C321" s="460" t="s">
        <v>290</v>
      </c>
      <c r="D321" s="460" t="s">
        <v>282</v>
      </c>
      <c r="E321" t="s">
        <v>256</v>
      </c>
      <c r="F321" s="516">
        <v>61.6</v>
      </c>
      <c r="G321" s="516">
        <v>46.5</v>
      </c>
      <c r="H321" s="516">
        <v>59.4</v>
      </c>
      <c r="I321" s="516">
        <v>55.9</v>
      </c>
      <c r="J321" s="516">
        <v>66.900000000000006</v>
      </c>
      <c r="K321" s="516">
        <v>73.900000000000006</v>
      </c>
      <c r="L321" s="516">
        <v>72.5</v>
      </c>
      <c r="M321" s="516">
        <v>66.900000000000006</v>
      </c>
      <c r="N321" s="516">
        <v>60.4</v>
      </c>
      <c r="O321" s="516">
        <v>50.4</v>
      </c>
      <c r="P321" s="516">
        <v>66.7</v>
      </c>
      <c r="Q321" s="516">
        <v>74.099999999999994</v>
      </c>
      <c r="R321" s="138">
        <v>755.2</v>
      </c>
    </row>
    <row r="322" spans="1:18" x14ac:dyDescent="0.2">
      <c r="A322" t="s">
        <v>841</v>
      </c>
      <c r="B322" s="460">
        <v>330</v>
      </c>
      <c r="C322" s="460" t="s">
        <v>348</v>
      </c>
      <c r="D322" s="460" t="s">
        <v>502</v>
      </c>
      <c r="E322" t="s">
        <v>256</v>
      </c>
      <c r="F322" s="516">
        <v>89.6</v>
      </c>
      <c r="G322" s="516">
        <v>69</v>
      </c>
      <c r="H322" s="516">
        <v>82.2</v>
      </c>
      <c r="I322" s="516">
        <v>76.3</v>
      </c>
      <c r="J322" s="516">
        <v>88.8</v>
      </c>
      <c r="K322" s="516">
        <v>96.5</v>
      </c>
      <c r="L322" s="516">
        <v>102.3</v>
      </c>
      <c r="M322" s="516">
        <v>84.2</v>
      </c>
      <c r="N322" s="516">
        <v>73.599999999999994</v>
      </c>
      <c r="O322" s="516">
        <v>69.099999999999994</v>
      </c>
      <c r="P322" s="516">
        <v>87.2</v>
      </c>
      <c r="Q322" s="516">
        <v>102.7</v>
      </c>
      <c r="R322" s="138">
        <v>1021.3</v>
      </c>
    </row>
    <row r="323" spans="1:18" x14ac:dyDescent="0.2">
      <c r="A323" t="s">
        <v>842</v>
      </c>
      <c r="B323" s="460">
        <v>254</v>
      </c>
      <c r="C323" s="460" t="s">
        <v>684</v>
      </c>
      <c r="D323" s="460" t="s">
        <v>805</v>
      </c>
      <c r="E323" t="s">
        <v>256</v>
      </c>
      <c r="F323" s="516">
        <v>74.400000000000006</v>
      </c>
      <c r="G323" s="516">
        <v>55.6</v>
      </c>
      <c r="H323" s="516">
        <v>69.5</v>
      </c>
      <c r="I323" s="516">
        <v>66.400000000000006</v>
      </c>
      <c r="J323" s="516">
        <v>81.599999999999994</v>
      </c>
      <c r="K323" s="516">
        <v>92.4</v>
      </c>
      <c r="L323" s="516">
        <v>92.9</v>
      </c>
      <c r="M323" s="516">
        <v>80.900000000000006</v>
      </c>
      <c r="N323" s="516">
        <v>65</v>
      </c>
      <c r="O323" s="516">
        <v>60.2</v>
      </c>
      <c r="P323" s="516">
        <v>75.599999999999994</v>
      </c>
      <c r="Q323" s="516">
        <v>88.9</v>
      </c>
      <c r="R323" s="138">
        <v>903.4</v>
      </c>
    </row>
    <row r="324" spans="1:18" x14ac:dyDescent="0.2">
      <c r="A324" t="s">
        <v>843</v>
      </c>
      <c r="B324" s="460">
        <v>398</v>
      </c>
      <c r="C324" s="460" t="s">
        <v>467</v>
      </c>
      <c r="D324" s="460" t="s">
        <v>679</v>
      </c>
      <c r="E324" t="s">
        <v>256</v>
      </c>
      <c r="F324" s="516">
        <v>89</v>
      </c>
      <c r="G324" s="516">
        <v>68.400000000000006</v>
      </c>
      <c r="H324" s="516">
        <v>84.1</v>
      </c>
      <c r="I324" s="516">
        <v>78.900000000000006</v>
      </c>
      <c r="J324" s="516">
        <v>97.6</v>
      </c>
      <c r="K324" s="516">
        <v>118.6</v>
      </c>
      <c r="L324" s="516">
        <v>121.2</v>
      </c>
      <c r="M324" s="516">
        <v>90.1</v>
      </c>
      <c r="N324" s="516">
        <v>80</v>
      </c>
      <c r="O324" s="516">
        <v>71</v>
      </c>
      <c r="P324" s="516">
        <v>87</v>
      </c>
      <c r="Q324" s="516">
        <v>101.8</v>
      </c>
      <c r="R324" s="138">
        <v>1087.5</v>
      </c>
    </row>
    <row r="325" spans="1:18" x14ac:dyDescent="0.2">
      <c r="A325" t="s">
        <v>844</v>
      </c>
      <c r="B325" s="460">
        <v>28</v>
      </c>
      <c r="C325" s="460" t="s">
        <v>392</v>
      </c>
      <c r="D325" s="460" t="s">
        <v>385</v>
      </c>
      <c r="E325" t="s">
        <v>256</v>
      </c>
      <c r="F325" s="516">
        <v>56.4</v>
      </c>
      <c r="G325" s="516">
        <v>44.9</v>
      </c>
      <c r="H325" s="516">
        <v>59.3</v>
      </c>
      <c r="I325" s="516">
        <v>47.1</v>
      </c>
      <c r="J325" s="516">
        <v>56.8</v>
      </c>
      <c r="K325" s="516">
        <v>70.7</v>
      </c>
      <c r="L325" s="516">
        <v>66.5</v>
      </c>
      <c r="M325" s="516">
        <v>57.5</v>
      </c>
      <c r="N325" s="516">
        <v>54.2</v>
      </c>
      <c r="O325" s="516">
        <v>51.8</v>
      </c>
      <c r="P325" s="516">
        <v>63.3</v>
      </c>
      <c r="Q325" s="516">
        <v>67.8</v>
      </c>
      <c r="R325" s="138">
        <v>696.2</v>
      </c>
    </row>
    <row r="326" spans="1:18" x14ac:dyDescent="0.2">
      <c r="A326" t="s">
        <v>845</v>
      </c>
      <c r="B326" s="460">
        <v>146</v>
      </c>
      <c r="C326" s="460" t="s">
        <v>354</v>
      </c>
      <c r="D326" s="460" t="s">
        <v>407</v>
      </c>
      <c r="E326" t="s">
        <v>256</v>
      </c>
      <c r="F326" s="516">
        <v>40.5</v>
      </c>
      <c r="G326" s="516">
        <v>39</v>
      </c>
      <c r="H326" s="516">
        <v>46.9</v>
      </c>
      <c r="I326" s="516">
        <v>49.7</v>
      </c>
      <c r="J326" s="516">
        <v>62.3</v>
      </c>
      <c r="K326" s="516">
        <v>66.7</v>
      </c>
      <c r="L326" s="516">
        <v>68.5</v>
      </c>
      <c r="M326" s="516">
        <v>63.3</v>
      </c>
      <c r="N326" s="516">
        <v>48.4</v>
      </c>
      <c r="O326" s="516">
        <v>42.5</v>
      </c>
      <c r="P326" s="516">
        <v>50.4</v>
      </c>
      <c r="Q326" s="516">
        <v>45.4</v>
      </c>
      <c r="R326" s="138">
        <v>623.6</v>
      </c>
    </row>
    <row r="327" spans="1:18" x14ac:dyDescent="0.2">
      <c r="A327" t="s">
        <v>846</v>
      </c>
      <c r="B327" s="460">
        <v>75</v>
      </c>
      <c r="C327" s="460" t="s">
        <v>640</v>
      </c>
      <c r="D327" s="460" t="s">
        <v>812</v>
      </c>
      <c r="E327" t="s">
        <v>256</v>
      </c>
      <c r="F327" s="516">
        <v>51.1</v>
      </c>
      <c r="G327" s="516">
        <v>42.3</v>
      </c>
      <c r="H327" s="516">
        <v>52.5</v>
      </c>
      <c r="I327" s="516">
        <v>52.5</v>
      </c>
      <c r="J327" s="516">
        <v>64</v>
      </c>
      <c r="K327" s="516">
        <v>75.400000000000006</v>
      </c>
      <c r="L327" s="516">
        <v>74.5</v>
      </c>
      <c r="M327" s="516">
        <v>66.900000000000006</v>
      </c>
      <c r="N327" s="516">
        <v>58.5</v>
      </c>
      <c r="O327" s="516">
        <v>48.7</v>
      </c>
      <c r="P327" s="516">
        <v>59.3</v>
      </c>
      <c r="Q327" s="516">
        <v>66.3</v>
      </c>
      <c r="R327" s="138">
        <v>711.9</v>
      </c>
    </row>
    <row r="328" spans="1:18" x14ac:dyDescent="0.2">
      <c r="A328" t="s">
        <v>847</v>
      </c>
      <c r="B328" s="460">
        <v>415</v>
      </c>
      <c r="C328" s="460" t="s">
        <v>620</v>
      </c>
      <c r="D328" s="460" t="s">
        <v>287</v>
      </c>
      <c r="E328" t="s">
        <v>256</v>
      </c>
      <c r="F328" s="516">
        <v>136.1</v>
      </c>
      <c r="G328" s="516">
        <v>98.2</v>
      </c>
      <c r="H328" s="516">
        <v>117.6</v>
      </c>
      <c r="I328" s="516">
        <v>92.2</v>
      </c>
      <c r="J328" s="516">
        <v>89.1</v>
      </c>
      <c r="K328" s="516">
        <v>109.1</v>
      </c>
      <c r="L328" s="516">
        <v>113.9</v>
      </c>
      <c r="M328" s="516">
        <v>97.3</v>
      </c>
      <c r="N328" s="516">
        <v>97.2</v>
      </c>
      <c r="O328" s="516">
        <v>99.5</v>
      </c>
      <c r="P328" s="516">
        <v>128.69999999999999</v>
      </c>
      <c r="Q328" s="516">
        <v>156.80000000000001</v>
      </c>
      <c r="R328" s="138">
        <v>1335.7</v>
      </c>
    </row>
    <row r="329" spans="1:18" x14ac:dyDescent="0.2">
      <c r="A329" t="s">
        <v>848</v>
      </c>
      <c r="B329" s="460">
        <v>77</v>
      </c>
      <c r="C329" s="460" t="s">
        <v>357</v>
      </c>
      <c r="D329" s="460" t="s">
        <v>730</v>
      </c>
      <c r="E329" t="s">
        <v>256</v>
      </c>
      <c r="F329" s="516">
        <v>58.9</v>
      </c>
      <c r="G329" s="516">
        <v>46.6</v>
      </c>
      <c r="H329" s="516">
        <v>57.8</v>
      </c>
      <c r="I329" s="516">
        <v>58.8</v>
      </c>
      <c r="J329" s="516">
        <v>66.7</v>
      </c>
      <c r="K329" s="516">
        <v>78.599999999999994</v>
      </c>
      <c r="L329" s="516">
        <v>73.7</v>
      </c>
      <c r="M329" s="516">
        <v>66.900000000000006</v>
      </c>
      <c r="N329" s="516">
        <v>58</v>
      </c>
      <c r="O329" s="516">
        <v>50.8</v>
      </c>
      <c r="P329" s="516">
        <v>61.8</v>
      </c>
      <c r="Q329" s="516">
        <v>70.2</v>
      </c>
      <c r="R329" s="138">
        <v>748.8</v>
      </c>
    </row>
    <row r="330" spans="1:18" x14ac:dyDescent="0.2">
      <c r="A330" t="s">
        <v>849</v>
      </c>
      <c r="B330" s="460">
        <v>255</v>
      </c>
      <c r="C330" s="460" t="s">
        <v>477</v>
      </c>
      <c r="D330" s="460" t="s">
        <v>850</v>
      </c>
      <c r="E330" t="s">
        <v>256</v>
      </c>
      <c r="F330" s="516">
        <v>126.8</v>
      </c>
      <c r="G330" s="516">
        <v>90.6</v>
      </c>
      <c r="H330" s="516">
        <v>110.5</v>
      </c>
      <c r="I330" s="516">
        <v>88</v>
      </c>
      <c r="J330" s="516">
        <v>91.1</v>
      </c>
      <c r="K330" s="516">
        <v>109.5</v>
      </c>
      <c r="L330" s="516">
        <v>118.7</v>
      </c>
      <c r="M330" s="516">
        <v>94.8</v>
      </c>
      <c r="N330" s="516">
        <v>97.5</v>
      </c>
      <c r="O330" s="516">
        <v>98</v>
      </c>
      <c r="P330" s="516">
        <v>125.8</v>
      </c>
      <c r="Q330" s="516">
        <v>144.9</v>
      </c>
      <c r="R330" s="138">
        <v>1296.2</v>
      </c>
    </row>
    <row r="331" spans="1:18" x14ac:dyDescent="0.2">
      <c r="A331" t="s">
        <v>851</v>
      </c>
      <c r="B331" s="460">
        <v>94</v>
      </c>
      <c r="C331" s="460" t="s">
        <v>367</v>
      </c>
      <c r="D331" s="460" t="s">
        <v>303</v>
      </c>
      <c r="E331" t="s">
        <v>256</v>
      </c>
      <c r="F331" s="516">
        <v>59</v>
      </c>
      <c r="G331" s="516">
        <v>45.7</v>
      </c>
      <c r="H331" s="516">
        <v>58.3</v>
      </c>
      <c r="I331" s="516">
        <v>51.8</v>
      </c>
      <c r="J331" s="516">
        <v>69.900000000000006</v>
      </c>
      <c r="K331" s="516">
        <v>76.3</v>
      </c>
      <c r="L331" s="516">
        <v>77.7</v>
      </c>
      <c r="M331" s="516">
        <v>58.3</v>
      </c>
      <c r="N331" s="516">
        <v>63.8</v>
      </c>
      <c r="O331" s="516">
        <v>51.7</v>
      </c>
      <c r="P331" s="516">
        <v>64.400000000000006</v>
      </c>
      <c r="Q331" s="516">
        <v>72.099999999999994</v>
      </c>
      <c r="R331" s="138">
        <v>749.1</v>
      </c>
    </row>
    <row r="332" spans="1:18" x14ac:dyDescent="0.2">
      <c r="A332" t="s">
        <v>852</v>
      </c>
      <c r="B332" s="460">
        <v>134</v>
      </c>
      <c r="C332" s="460" t="s">
        <v>853</v>
      </c>
      <c r="D332" s="460" t="s">
        <v>320</v>
      </c>
      <c r="E332" t="s">
        <v>256</v>
      </c>
      <c r="F332" s="516">
        <v>83.9</v>
      </c>
      <c r="G332" s="516">
        <v>64</v>
      </c>
      <c r="H332" s="516">
        <v>75.099999999999994</v>
      </c>
      <c r="I332" s="516">
        <v>65.7</v>
      </c>
      <c r="J332" s="516">
        <v>77.5</v>
      </c>
      <c r="K332" s="516">
        <v>82.9</v>
      </c>
      <c r="L332" s="516">
        <v>80.2</v>
      </c>
      <c r="M332" s="516">
        <v>75.5</v>
      </c>
      <c r="N332" s="516">
        <v>72.3</v>
      </c>
      <c r="O332" s="516">
        <v>66.3</v>
      </c>
      <c r="P332" s="516">
        <v>84.7</v>
      </c>
      <c r="Q332" s="516">
        <v>103.3</v>
      </c>
      <c r="R332" s="138">
        <v>931.4</v>
      </c>
    </row>
    <row r="333" spans="1:18" x14ac:dyDescent="0.2">
      <c r="A333" t="s">
        <v>854</v>
      </c>
      <c r="B333" s="460">
        <v>25</v>
      </c>
      <c r="C333" s="460" t="s">
        <v>496</v>
      </c>
      <c r="D333" s="460" t="s">
        <v>498</v>
      </c>
      <c r="E333" t="s">
        <v>256</v>
      </c>
      <c r="F333" s="516">
        <v>56.9</v>
      </c>
      <c r="G333" s="516">
        <v>43.4</v>
      </c>
      <c r="H333" s="516">
        <v>58.2</v>
      </c>
      <c r="I333" s="516">
        <v>46.8</v>
      </c>
      <c r="J333" s="516">
        <v>66.2</v>
      </c>
      <c r="K333" s="516">
        <v>72.599999999999994</v>
      </c>
      <c r="L333" s="516">
        <v>73</v>
      </c>
      <c r="M333" s="516">
        <v>60.3</v>
      </c>
      <c r="N333" s="516">
        <v>57.6</v>
      </c>
      <c r="O333" s="516">
        <v>51.3</v>
      </c>
      <c r="P333" s="516">
        <v>61.6</v>
      </c>
      <c r="Q333" s="516">
        <v>68.3</v>
      </c>
      <c r="R333" s="138">
        <v>716.3</v>
      </c>
    </row>
    <row r="334" spans="1:18" x14ac:dyDescent="0.2">
      <c r="A334" t="s">
        <v>855</v>
      </c>
      <c r="B334" s="460">
        <v>92</v>
      </c>
      <c r="C334" s="460" t="s">
        <v>856</v>
      </c>
      <c r="D334" s="460" t="s">
        <v>268</v>
      </c>
      <c r="E334" t="s">
        <v>256</v>
      </c>
      <c r="F334" s="516">
        <v>71.5</v>
      </c>
      <c r="G334" s="516">
        <v>51.5</v>
      </c>
      <c r="H334" s="516">
        <v>61.7</v>
      </c>
      <c r="I334" s="516">
        <v>52.7</v>
      </c>
      <c r="J334" s="516">
        <v>63.6</v>
      </c>
      <c r="K334" s="516">
        <v>80.3</v>
      </c>
      <c r="L334" s="516">
        <v>71</v>
      </c>
      <c r="M334" s="516">
        <v>72.900000000000006</v>
      </c>
      <c r="N334" s="516">
        <v>61.3</v>
      </c>
      <c r="O334" s="516">
        <v>59.6</v>
      </c>
      <c r="P334" s="516">
        <v>73.5</v>
      </c>
      <c r="Q334" s="516">
        <v>80.2</v>
      </c>
      <c r="R334" s="138">
        <v>799.8</v>
      </c>
    </row>
    <row r="335" spans="1:18" x14ac:dyDescent="0.2">
      <c r="A335" t="s">
        <v>857</v>
      </c>
      <c r="B335" s="460">
        <v>107</v>
      </c>
      <c r="C335" s="460" t="s">
        <v>582</v>
      </c>
      <c r="D335" s="460" t="s">
        <v>547</v>
      </c>
      <c r="E335" t="s">
        <v>256</v>
      </c>
      <c r="F335" s="516">
        <v>82.4</v>
      </c>
      <c r="G335" s="516">
        <v>60.6</v>
      </c>
      <c r="H335" s="516">
        <v>74.599999999999994</v>
      </c>
      <c r="I335" s="516">
        <v>70</v>
      </c>
      <c r="J335" s="516">
        <v>69.3</v>
      </c>
      <c r="K335" s="516">
        <v>91.8</v>
      </c>
      <c r="L335" s="516">
        <v>84.3</v>
      </c>
      <c r="M335" s="516">
        <v>75.8</v>
      </c>
      <c r="N335" s="516">
        <v>66.5</v>
      </c>
      <c r="O335" s="516">
        <v>67.8</v>
      </c>
      <c r="P335" s="516">
        <v>80.400000000000006</v>
      </c>
      <c r="Q335" s="516">
        <v>92.7</v>
      </c>
      <c r="R335" s="138">
        <v>916.1</v>
      </c>
    </row>
    <row r="336" spans="1:18" x14ac:dyDescent="0.2">
      <c r="A336" t="s">
        <v>858</v>
      </c>
      <c r="B336" s="460">
        <v>144</v>
      </c>
      <c r="C336" s="460" t="s">
        <v>413</v>
      </c>
      <c r="D336" s="460" t="s">
        <v>282</v>
      </c>
      <c r="E336" t="s">
        <v>256</v>
      </c>
      <c r="F336" s="516">
        <v>62.1</v>
      </c>
      <c r="G336" s="516">
        <v>47</v>
      </c>
      <c r="H336" s="516">
        <v>61</v>
      </c>
      <c r="I336" s="516">
        <v>61.1</v>
      </c>
      <c r="J336" s="516">
        <v>70.7</v>
      </c>
      <c r="K336" s="516">
        <v>87.9</v>
      </c>
      <c r="L336" s="516">
        <v>82.5</v>
      </c>
      <c r="M336" s="516">
        <v>69.099999999999994</v>
      </c>
      <c r="N336" s="516">
        <v>60.4</v>
      </c>
      <c r="O336" s="516">
        <v>54.3</v>
      </c>
      <c r="P336" s="516">
        <v>65.3</v>
      </c>
      <c r="Q336" s="516">
        <v>75.3</v>
      </c>
      <c r="R336" s="138">
        <v>796.7</v>
      </c>
    </row>
    <row r="337" spans="1:18" x14ac:dyDescent="0.2">
      <c r="A337" t="s">
        <v>859</v>
      </c>
      <c r="B337" s="460">
        <v>215</v>
      </c>
      <c r="C337" s="460" t="s">
        <v>299</v>
      </c>
      <c r="D337" s="460" t="s">
        <v>414</v>
      </c>
      <c r="E337" t="s">
        <v>256</v>
      </c>
      <c r="F337" s="516">
        <v>119.5</v>
      </c>
      <c r="G337" s="516">
        <v>85.1</v>
      </c>
      <c r="H337" s="516">
        <v>106</v>
      </c>
      <c r="I337" s="516">
        <v>81.8</v>
      </c>
      <c r="J337" s="516">
        <v>80.8</v>
      </c>
      <c r="K337" s="516">
        <v>100.6</v>
      </c>
      <c r="L337" s="516">
        <v>105.4</v>
      </c>
      <c r="M337" s="516">
        <v>89.1</v>
      </c>
      <c r="N337" s="516">
        <v>89.3</v>
      </c>
      <c r="O337" s="516">
        <v>89.2</v>
      </c>
      <c r="P337" s="516">
        <v>112.8</v>
      </c>
      <c r="Q337" s="516">
        <v>134.69999999999999</v>
      </c>
      <c r="R337" s="138">
        <v>1194.0999999999999</v>
      </c>
    </row>
    <row r="338" spans="1:18" x14ac:dyDescent="0.2">
      <c r="A338" t="s">
        <v>860</v>
      </c>
      <c r="B338" s="460">
        <v>280</v>
      </c>
      <c r="C338" s="460" t="s">
        <v>489</v>
      </c>
      <c r="D338" s="460" t="s">
        <v>423</v>
      </c>
      <c r="E338" t="s">
        <v>256</v>
      </c>
      <c r="F338" s="516">
        <v>76.7</v>
      </c>
      <c r="G338" s="516">
        <v>60.3</v>
      </c>
      <c r="H338" s="516">
        <v>72.099999999999994</v>
      </c>
      <c r="I338" s="516">
        <v>64.7</v>
      </c>
      <c r="J338" s="516">
        <v>68.400000000000006</v>
      </c>
      <c r="K338" s="516">
        <v>80.8</v>
      </c>
      <c r="L338" s="516">
        <v>78.5</v>
      </c>
      <c r="M338" s="516">
        <v>72.599999999999994</v>
      </c>
      <c r="N338" s="516">
        <v>60.5</v>
      </c>
      <c r="O338" s="516">
        <v>55.2</v>
      </c>
      <c r="P338" s="516">
        <v>77</v>
      </c>
      <c r="Q338" s="516">
        <v>95.4</v>
      </c>
      <c r="R338" s="138">
        <v>862</v>
      </c>
    </row>
    <row r="339" spans="1:18" x14ac:dyDescent="0.2">
      <c r="A339" t="s">
        <v>861</v>
      </c>
      <c r="B339" s="460">
        <v>470</v>
      </c>
      <c r="C339" s="460" t="s">
        <v>286</v>
      </c>
      <c r="D339" s="460" t="s">
        <v>303</v>
      </c>
      <c r="E339" t="s">
        <v>256</v>
      </c>
      <c r="F339" s="516">
        <v>149.69999999999999</v>
      </c>
      <c r="G339" s="516">
        <v>108.4</v>
      </c>
      <c r="H339" s="516">
        <v>129.9</v>
      </c>
      <c r="I339" s="516">
        <v>92.9</v>
      </c>
      <c r="J339" s="516">
        <v>92.6</v>
      </c>
      <c r="K339" s="516">
        <v>109.2</v>
      </c>
      <c r="L339" s="516">
        <v>121.2</v>
      </c>
      <c r="M339" s="516">
        <v>92.4</v>
      </c>
      <c r="N339" s="516">
        <v>111.6</v>
      </c>
      <c r="O339" s="516">
        <v>108.4</v>
      </c>
      <c r="P339" s="516">
        <v>140.19999999999999</v>
      </c>
      <c r="Q339" s="516">
        <v>172.1</v>
      </c>
      <c r="R339" s="138">
        <v>1428.3</v>
      </c>
    </row>
    <row r="340" spans="1:18" x14ac:dyDescent="0.2">
      <c r="A340" t="s">
        <v>862</v>
      </c>
      <c r="B340" s="460">
        <v>108</v>
      </c>
      <c r="C340" s="460" t="s">
        <v>254</v>
      </c>
      <c r="D340" s="460" t="s">
        <v>447</v>
      </c>
      <c r="E340" t="s">
        <v>256</v>
      </c>
      <c r="F340" s="516">
        <v>90.8</v>
      </c>
      <c r="G340" s="516">
        <v>69</v>
      </c>
      <c r="H340" s="516">
        <v>84.6</v>
      </c>
      <c r="I340" s="516">
        <v>66</v>
      </c>
      <c r="J340" s="516">
        <v>72.599999999999994</v>
      </c>
      <c r="K340" s="516">
        <v>87</v>
      </c>
      <c r="L340" s="516">
        <v>93.2</v>
      </c>
      <c r="M340" s="516">
        <v>77.5</v>
      </c>
      <c r="N340" s="516">
        <v>77.2</v>
      </c>
      <c r="O340" s="516">
        <v>73.400000000000006</v>
      </c>
      <c r="P340" s="516">
        <v>91.2</v>
      </c>
      <c r="Q340" s="516">
        <v>105.7</v>
      </c>
      <c r="R340" s="138">
        <v>988.1</v>
      </c>
    </row>
    <row r="341" spans="1:18" x14ac:dyDescent="0.2">
      <c r="A341" t="s">
        <v>863</v>
      </c>
      <c r="B341" s="460">
        <v>316</v>
      </c>
      <c r="C341" s="460" t="s">
        <v>254</v>
      </c>
      <c r="D341" s="460" t="s">
        <v>598</v>
      </c>
      <c r="E341" t="s">
        <v>256</v>
      </c>
      <c r="F341" s="516">
        <v>94.9</v>
      </c>
      <c r="G341" s="516">
        <v>71.5</v>
      </c>
      <c r="H341" s="516">
        <v>87</v>
      </c>
      <c r="I341" s="516">
        <v>68</v>
      </c>
      <c r="J341" s="516">
        <v>75.900000000000006</v>
      </c>
      <c r="K341" s="516">
        <v>93.7</v>
      </c>
      <c r="L341" s="516">
        <v>93.5</v>
      </c>
      <c r="M341" s="516">
        <v>82.9</v>
      </c>
      <c r="N341" s="516">
        <v>80.8</v>
      </c>
      <c r="O341" s="516">
        <v>72.7</v>
      </c>
      <c r="P341" s="516">
        <v>93.1</v>
      </c>
      <c r="Q341" s="516">
        <v>109.5</v>
      </c>
      <c r="R341" s="138">
        <v>1023.4</v>
      </c>
    </row>
    <row r="342" spans="1:18" x14ac:dyDescent="0.2">
      <c r="A342" t="s">
        <v>864</v>
      </c>
      <c r="B342" s="460">
        <v>681</v>
      </c>
      <c r="C342" s="460" t="s">
        <v>686</v>
      </c>
      <c r="D342" s="460" t="s">
        <v>331</v>
      </c>
      <c r="E342" t="s">
        <v>256</v>
      </c>
      <c r="F342" s="516">
        <v>140.19999999999999</v>
      </c>
      <c r="G342" s="516">
        <v>96.1</v>
      </c>
      <c r="H342" s="516">
        <v>115.3</v>
      </c>
      <c r="I342" s="516">
        <v>93</v>
      </c>
      <c r="J342" s="516">
        <v>97.6</v>
      </c>
      <c r="K342" s="516">
        <v>114.4</v>
      </c>
      <c r="L342" s="516">
        <v>119</v>
      </c>
      <c r="M342" s="516">
        <v>96.2</v>
      </c>
      <c r="N342" s="516">
        <v>96.1</v>
      </c>
      <c r="O342" s="516">
        <v>104.7</v>
      </c>
      <c r="P342" s="516">
        <v>136.5</v>
      </c>
      <c r="Q342" s="516">
        <v>151.19999999999999</v>
      </c>
      <c r="R342" s="138">
        <v>1360.2</v>
      </c>
    </row>
    <row r="343" spans="1:18" x14ac:dyDescent="0.2">
      <c r="A343" t="s">
        <v>865</v>
      </c>
      <c r="B343" s="460">
        <v>782</v>
      </c>
      <c r="C343" s="460" t="s">
        <v>686</v>
      </c>
      <c r="D343" s="460" t="s">
        <v>310</v>
      </c>
      <c r="E343" t="s">
        <v>256</v>
      </c>
      <c r="F343" s="516">
        <v>119.3</v>
      </c>
      <c r="G343" s="516">
        <v>83.1</v>
      </c>
      <c r="H343" s="516">
        <v>99.5</v>
      </c>
      <c r="I343" s="516">
        <v>86.4</v>
      </c>
      <c r="J343" s="516">
        <v>101.7</v>
      </c>
      <c r="K343" s="516">
        <v>119.1</v>
      </c>
      <c r="L343" s="516">
        <v>121.1</v>
      </c>
      <c r="M343" s="516">
        <v>103.9</v>
      </c>
      <c r="N343" s="516">
        <v>97.4</v>
      </c>
      <c r="O343" s="516">
        <v>102</v>
      </c>
      <c r="P343" s="516">
        <v>121.5</v>
      </c>
      <c r="Q343" s="516">
        <v>133.1</v>
      </c>
      <c r="R343" s="138">
        <v>1288.0999999999999</v>
      </c>
    </row>
    <row r="344" spans="1:18" x14ac:dyDescent="0.2">
      <c r="A344" t="s">
        <v>866</v>
      </c>
      <c r="B344" s="460">
        <v>460</v>
      </c>
      <c r="C344" s="460" t="s">
        <v>477</v>
      </c>
      <c r="D344" s="460" t="s">
        <v>749</v>
      </c>
      <c r="E344" t="s">
        <v>256</v>
      </c>
      <c r="F344" s="516">
        <v>124.3</v>
      </c>
      <c r="G344" s="516">
        <v>80.8</v>
      </c>
      <c r="H344" s="516">
        <v>102.5</v>
      </c>
      <c r="I344" s="516">
        <v>75.900000000000006</v>
      </c>
      <c r="J344" s="516">
        <v>78.900000000000006</v>
      </c>
      <c r="K344" s="516">
        <v>91.9</v>
      </c>
      <c r="L344" s="516">
        <v>90.2</v>
      </c>
      <c r="M344" s="516">
        <v>79.2</v>
      </c>
      <c r="N344" s="516">
        <v>73.099999999999994</v>
      </c>
      <c r="O344" s="516">
        <v>84.1</v>
      </c>
      <c r="P344" s="516">
        <v>117.1</v>
      </c>
      <c r="Q344" s="516">
        <v>131.6</v>
      </c>
      <c r="R344" s="138">
        <v>1129.7</v>
      </c>
    </row>
    <row r="345" spans="1:18" x14ac:dyDescent="0.2">
      <c r="A345" t="s">
        <v>867</v>
      </c>
      <c r="B345" s="460">
        <v>312</v>
      </c>
      <c r="C345" s="460" t="s">
        <v>577</v>
      </c>
      <c r="D345" s="460" t="s">
        <v>417</v>
      </c>
      <c r="E345" t="s">
        <v>256</v>
      </c>
      <c r="F345" s="516">
        <v>137.5</v>
      </c>
      <c r="G345" s="516">
        <v>95.7</v>
      </c>
      <c r="H345" s="516">
        <v>114</v>
      </c>
      <c r="I345" s="516">
        <v>88.7</v>
      </c>
      <c r="J345" s="516">
        <v>87.5</v>
      </c>
      <c r="K345" s="516">
        <v>109.6</v>
      </c>
      <c r="L345" s="516">
        <v>116.7</v>
      </c>
      <c r="M345" s="516">
        <v>92.5</v>
      </c>
      <c r="N345" s="516">
        <v>99.5</v>
      </c>
      <c r="O345" s="516">
        <v>99.9</v>
      </c>
      <c r="P345" s="516">
        <v>129.69999999999999</v>
      </c>
      <c r="Q345" s="516">
        <v>152.9</v>
      </c>
      <c r="R345" s="138">
        <v>1324.2</v>
      </c>
    </row>
    <row r="346" spans="1:18" x14ac:dyDescent="0.2">
      <c r="A346" t="s">
        <v>868</v>
      </c>
      <c r="B346" s="460">
        <v>360</v>
      </c>
      <c r="C346" s="460" t="s">
        <v>477</v>
      </c>
      <c r="D346" s="460" t="s">
        <v>417</v>
      </c>
      <c r="E346" t="s">
        <v>256</v>
      </c>
      <c r="F346" s="516">
        <v>132.1</v>
      </c>
      <c r="G346" s="516">
        <v>95.5</v>
      </c>
      <c r="H346" s="516">
        <v>112.2</v>
      </c>
      <c r="I346" s="516">
        <v>89.7</v>
      </c>
      <c r="J346" s="516">
        <v>90.8</v>
      </c>
      <c r="K346" s="516">
        <v>107.2</v>
      </c>
      <c r="L346" s="516">
        <v>119.6</v>
      </c>
      <c r="M346" s="516">
        <v>94.7</v>
      </c>
      <c r="N346" s="516">
        <v>100.9</v>
      </c>
      <c r="O346" s="516">
        <v>99</v>
      </c>
      <c r="P346" s="516">
        <v>129.19999999999999</v>
      </c>
      <c r="Q346" s="516">
        <v>150</v>
      </c>
      <c r="R346" s="138">
        <v>1321</v>
      </c>
    </row>
    <row r="347" spans="1:18" x14ac:dyDescent="0.2">
      <c r="A347" t="s">
        <v>869</v>
      </c>
      <c r="B347" s="460">
        <v>117</v>
      </c>
      <c r="C347" s="460" t="s">
        <v>376</v>
      </c>
      <c r="D347" s="460" t="s">
        <v>728</v>
      </c>
      <c r="E347" t="s">
        <v>256</v>
      </c>
      <c r="F347" s="516">
        <v>77.599999999999994</v>
      </c>
      <c r="G347" s="516">
        <v>55.7</v>
      </c>
      <c r="H347" s="516">
        <v>72.3</v>
      </c>
      <c r="I347" s="516">
        <v>67.599999999999994</v>
      </c>
      <c r="J347" s="516">
        <v>64.8</v>
      </c>
      <c r="K347" s="516">
        <v>87.5</v>
      </c>
      <c r="L347" s="516">
        <v>87.3</v>
      </c>
      <c r="M347" s="516">
        <v>71.900000000000006</v>
      </c>
      <c r="N347" s="516">
        <v>63.6</v>
      </c>
      <c r="O347" s="516">
        <v>64.400000000000006</v>
      </c>
      <c r="P347" s="516">
        <v>76.599999999999994</v>
      </c>
      <c r="Q347" s="516">
        <v>86</v>
      </c>
      <c r="R347" s="138">
        <v>875.4</v>
      </c>
    </row>
    <row r="348" spans="1:18" x14ac:dyDescent="0.2">
      <c r="A348" t="s">
        <v>870</v>
      </c>
      <c r="B348" s="460">
        <v>138</v>
      </c>
      <c r="C348" s="460" t="s">
        <v>467</v>
      </c>
      <c r="D348" s="460" t="s">
        <v>728</v>
      </c>
      <c r="E348" t="s">
        <v>256</v>
      </c>
      <c r="F348" s="516">
        <v>75.8</v>
      </c>
      <c r="G348" s="516">
        <v>53.4</v>
      </c>
      <c r="H348" s="516">
        <v>72.8</v>
      </c>
      <c r="I348" s="516">
        <v>64.3</v>
      </c>
      <c r="J348" s="516">
        <v>66.7</v>
      </c>
      <c r="K348" s="516">
        <v>83.1</v>
      </c>
      <c r="L348" s="516">
        <v>86.6</v>
      </c>
      <c r="M348" s="516">
        <v>72.7</v>
      </c>
      <c r="N348" s="516">
        <v>67.900000000000006</v>
      </c>
      <c r="O348" s="516">
        <v>64.400000000000006</v>
      </c>
      <c r="P348" s="516">
        <v>78.599999999999994</v>
      </c>
      <c r="Q348" s="516">
        <v>91.2</v>
      </c>
      <c r="R348" s="138">
        <v>877.5</v>
      </c>
    </row>
    <row r="349" spans="1:18" x14ac:dyDescent="0.2">
      <c r="A349" t="s">
        <v>871</v>
      </c>
      <c r="B349" s="460">
        <v>130</v>
      </c>
      <c r="C349" s="460" t="s">
        <v>345</v>
      </c>
      <c r="D349" s="460" t="s">
        <v>728</v>
      </c>
      <c r="E349" t="s">
        <v>256</v>
      </c>
      <c r="F349" s="516">
        <v>73.7</v>
      </c>
      <c r="G349" s="516">
        <v>54.3</v>
      </c>
      <c r="H349" s="516">
        <v>69</v>
      </c>
      <c r="I349" s="516">
        <v>64</v>
      </c>
      <c r="J349" s="516">
        <v>69.2</v>
      </c>
      <c r="K349" s="516">
        <v>90.7</v>
      </c>
      <c r="L349" s="516">
        <v>88.3</v>
      </c>
      <c r="M349" s="516">
        <v>75.5</v>
      </c>
      <c r="N349" s="516">
        <v>68.8</v>
      </c>
      <c r="O349" s="516">
        <v>64</v>
      </c>
      <c r="P349" s="516">
        <v>78.599999999999994</v>
      </c>
      <c r="Q349" s="516">
        <v>86.5</v>
      </c>
      <c r="R349" s="138">
        <v>882.6</v>
      </c>
    </row>
    <row r="350" spans="1:18" x14ac:dyDescent="0.2">
      <c r="A350" t="s">
        <v>872</v>
      </c>
      <c r="B350" s="460">
        <v>312</v>
      </c>
      <c r="C350" s="460" t="s">
        <v>390</v>
      </c>
      <c r="D350" s="460" t="s">
        <v>873</v>
      </c>
      <c r="E350" t="s">
        <v>256</v>
      </c>
      <c r="F350" s="516">
        <v>59.8</v>
      </c>
      <c r="G350" s="516">
        <v>52.5</v>
      </c>
      <c r="H350" s="516">
        <v>59.6</v>
      </c>
      <c r="I350" s="516">
        <v>62.7</v>
      </c>
      <c r="J350" s="516">
        <v>72.900000000000006</v>
      </c>
      <c r="K350" s="516">
        <v>83.7</v>
      </c>
      <c r="L350" s="516">
        <v>85.5</v>
      </c>
      <c r="M350" s="516">
        <v>77.8</v>
      </c>
      <c r="N350" s="516">
        <v>57.5</v>
      </c>
      <c r="O350" s="516">
        <v>50</v>
      </c>
      <c r="P350" s="516">
        <v>61.7</v>
      </c>
      <c r="Q350" s="516">
        <v>70.900000000000006</v>
      </c>
      <c r="R350" s="138">
        <v>794.6</v>
      </c>
    </row>
    <row r="351" spans="1:18" x14ac:dyDescent="0.2">
      <c r="A351" t="s">
        <v>874</v>
      </c>
      <c r="B351" s="460">
        <v>197</v>
      </c>
      <c r="C351" s="460" t="s">
        <v>511</v>
      </c>
      <c r="D351" s="460" t="s">
        <v>349</v>
      </c>
      <c r="E351" t="s">
        <v>256</v>
      </c>
      <c r="F351" s="516">
        <v>114.2</v>
      </c>
      <c r="G351" s="516">
        <v>77.599999999999994</v>
      </c>
      <c r="H351" s="516">
        <v>101.7</v>
      </c>
      <c r="I351" s="516">
        <v>82.2</v>
      </c>
      <c r="J351" s="516">
        <v>83.4</v>
      </c>
      <c r="K351" s="516">
        <v>101.1</v>
      </c>
      <c r="L351" s="516">
        <v>99.3</v>
      </c>
      <c r="M351" s="516">
        <v>86.7</v>
      </c>
      <c r="N351" s="516">
        <v>86</v>
      </c>
      <c r="O351" s="516">
        <v>87</v>
      </c>
      <c r="P351" s="516">
        <v>109.4</v>
      </c>
      <c r="Q351" s="516">
        <v>125</v>
      </c>
      <c r="R351" s="138">
        <v>1153.5999999999999</v>
      </c>
    </row>
    <row r="352" spans="1:18" x14ac:dyDescent="0.2">
      <c r="A352" t="s">
        <v>875</v>
      </c>
      <c r="B352" s="460">
        <v>128</v>
      </c>
      <c r="C352" s="460" t="s">
        <v>435</v>
      </c>
      <c r="D352" s="460" t="s">
        <v>300</v>
      </c>
      <c r="E352" t="s">
        <v>256</v>
      </c>
      <c r="F352" s="516">
        <v>104.2</v>
      </c>
      <c r="G352" s="516">
        <v>73.7</v>
      </c>
      <c r="H352" s="516">
        <v>95.5</v>
      </c>
      <c r="I352" s="516">
        <v>80.5</v>
      </c>
      <c r="J352" s="516">
        <v>81.400000000000006</v>
      </c>
      <c r="K352" s="516">
        <v>103.7</v>
      </c>
      <c r="L352" s="516">
        <v>102.1</v>
      </c>
      <c r="M352" s="516">
        <v>86.9</v>
      </c>
      <c r="N352" s="516">
        <v>85.9</v>
      </c>
      <c r="O352" s="516">
        <v>84.1</v>
      </c>
      <c r="P352" s="516">
        <v>103.5</v>
      </c>
      <c r="Q352" s="516">
        <v>115.1</v>
      </c>
      <c r="R352" s="138">
        <v>1116.5</v>
      </c>
    </row>
    <row r="353" spans="1:18" x14ac:dyDescent="0.2">
      <c r="A353" t="s">
        <v>876</v>
      </c>
      <c r="B353" s="460">
        <v>275</v>
      </c>
      <c r="C353" s="460" t="s">
        <v>370</v>
      </c>
      <c r="D353" s="460" t="s">
        <v>755</v>
      </c>
      <c r="E353" t="s">
        <v>256</v>
      </c>
      <c r="F353" s="516">
        <v>117.8</v>
      </c>
      <c r="G353" s="516">
        <v>85.9</v>
      </c>
      <c r="H353" s="516">
        <v>102.4</v>
      </c>
      <c r="I353" s="516">
        <v>88.6</v>
      </c>
      <c r="J353" s="516">
        <v>93</v>
      </c>
      <c r="K353" s="516">
        <v>118</v>
      </c>
      <c r="L353" s="516">
        <v>116.7</v>
      </c>
      <c r="M353" s="516">
        <v>84.9</v>
      </c>
      <c r="N353" s="516">
        <v>98.2</v>
      </c>
      <c r="O353" s="516">
        <v>100.9</v>
      </c>
      <c r="P353" s="516">
        <v>124.2</v>
      </c>
      <c r="Q353" s="516">
        <v>132.1</v>
      </c>
      <c r="R353" s="138">
        <v>1262.5999999999999</v>
      </c>
    </row>
    <row r="354" spans="1:18" x14ac:dyDescent="0.2">
      <c r="A354" t="s">
        <v>877</v>
      </c>
      <c r="B354" s="460">
        <v>176</v>
      </c>
      <c r="C354" s="460" t="s">
        <v>370</v>
      </c>
      <c r="D354" s="460" t="s">
        <v>490</v>
      </c>
      <c r="E354" t="s">
        <v>256</v>
      </c>
      <c r="F354" s="516">
        <v>101.4</v>
      </c>
      <c r="G354" s="516">
        <v>72.599999999999994</v>
      </c>
      <c r="H354" s="516">
        <v>91.3</v>
      </c>
      <c r="I354" s="516">
        <v>76.2</v>
      </c>
      <c r="J354" s="516">
        <v>82.1</v>
      </c>
      <c r="K354" s="516">
        <v>98.5</v>
      </c>
      <c r="L354" s="516">
        <v>98.7</v>
      </c>
      <c r="M354" s="516">
        <v>88.8</v>
      </c>
      <c r="N354" s="516">
        <v>85.5</v>
      </c>
      <c r="O354" s="516">
        <v>80.2</v>
      </c>
      <c r="P354" s="516">
        <v>102.3</v>
      </c>
      <c r="Q354" s="516">
        <v>106.1</v>
      </c>
      <c r="R354" s="138">
        <v>1083.5</v>
      </c>
    </row>
    <row r="355" spans="1:18" x14ac:dyDescent="0.2">
      <c r="A355" t="s">
        <v>878</v>
      </c>
      <c r="B355" s="460">
        <v>20</v>
      </c>
      <c r="C355" s="460" t="s">
        <v>650</v>
      </c>
      <c r="D355" s="460" t="s">
        <v>535</v>
      </c>
      <c r="E355" t="s">
        <v>256</v>
      </c>
      <c r="F355" s="516">
        <v>67.900000000000006</v>
      </c>
      <c r="G355" s="516">
        <v>50.4</v>
      </c>
      <c r="H355" s="516">
        <v>66.599999999999994</v>
      </c>
      <c r="I355" s="516">
        <v>53.5</v>
      </c>
      <c r="J355" s="516">
        <v>63.6</v>
      </c>
      <c r="K355" s="516">
        <v>76.8</v>
      </c>
      <c r="L355" s="516">
        <v>72.8</v>
      </c>
      <c r="M355" s="516">
        <v>66.400000000000006</v>
      </c>
      <c r="N355" s="516">
        <v>61.8</v>
      </c>
      <c r="O355" s="516">
        <v>58.7</v>
      </c>
      <c r="P355" s="516">
        <v>73.2</v>
      </c>
      <c r="Q355" s="516">
        <v>81.599999999999994</v>
      </c>
      <c r="R355" s="138">
        <v>793.2</v>
      </c>
    </row>
    <row r="356" spans="1:18" x14ac:dyDescent="0.2">
      <c r="A356" t="s">
        <v>879</v>
      </c>
      <c r="B356" s="460">
        <v>170</v>
      </c>
      <c r="C356" s="460" t="s">
        <v>880</v>
      </c>
      <c r="D356" s="460" t="s">
        <v>690</v>
      </c>
      <c r="E356" t="s">
        <v>256</v>
      </c>
      <c r="F356" s="516">
        <v>38.9</v>
      </c>
      <c r="G356" s="516">
        <v>35.9</v>
      </c>
      <c r="H356" s="516">
        <v>41.9</v>
      </c>
      <c r="I356" s="516">
        <v>46.4</v>
      </c>
      <c r="J356" s="516">
        <v>57.4</v>
      </c>
      <c r="K356" s="516">
        <v>63.7</v>
      </c>
      <c r="L356" s="516">
        <v>63.9</v>
      </c>
      <c r="M356" s="516">
        <v>59.6</v>
      </c>
      <c r="N356" s="516">
        <v>43.3</v>
      </c>
      <c r="O356" s="516">
        <v>39.6</v>
      </c>
      <c r="P356" s="516">
        <v>47.9</v>
      </c>
      <c r="Q356" s="516">
        <v>43.7</v>
      </c>
      <c r="R356" s="138">
        <v>582.20000000000005</v>
      </c>
    </row>
  </sheetData>
  <sheetProtection algorithmName="SHA-512" hashValue="D8ItG0DjlNXt1P5gI3fie6UWzQgQzbY+uE+rOLk2Gwyzs5FZzd8GZ23t0c1qyTCk+qBoSTkzdPZvOYufLc+7rA==" saltValue="GOTS9PDVAvDg+3e8am2xvA==" spinCount="100000" sheet="1" objects="1" scenarios="1"/>
  <pageMargins left="0.19685039370078741" right="0.27559055118110237" top="0.59055118110236227" bottom="0.35433070866141742" header="0.19685039370078741" footer="0"/>
  <pageSetup paperSize="9" orientation="portrait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B12"/>
  <sheetViews>
    <sheetView showGridLines="0" zoomScale="89" zoomScaleNormal="89" workbookViewId="0">
      <selection activeCell="B5" sqref="B5"/>
    </sheetView>
  </sheetViews>
  <sheetFormatPr baseColWidth="10" defaultColWidth="11.42578125" defaultRowHeight="12.75" x14ac:dyDescent="0.2"/>
  <cols>
    <col min="1" max="1" width="11.42578125" style="73" customWidth="1"/>
    <col min="2" max="2" width="83.5703125" style="73" customWidth="1"/>
    <col min="3" max="3" width="11.42578125" style="73" customWidth="1"/>
    <col min="4" max="16384" width="11.42578125" style="73"/>
  </cols>
  <sheetData>
    <row r="1" spans="1:2" ht="13.5" customHeight="1" thickBot="1" x14ac:dyDescent="0.25">
      <c r="A1" s="74"/>
      <c r="B1" s="75" t="s">
        <v>881</v>
      </c>
    </row>
    <row r="2" spans="1:2" ht="13.5" customHeight="1" thickBot="1" x14ac:dyDescent="0.25">
      <c r="A2" s="76">
        <v>1</v>
      </c>
      <c r="B2" s="77" t="s">
        <v>882</v>
      </c>
    </row>
    <row r="3" spans="1:2" ht="13.5" thickBot="1" x14ac:dyDescent="0.25">
      <c r="A3" s="482">
        <v>2</v>
      </c>
      <c r="B3" s="181" t="s">
        <v>894</v>
      </c>
    </row>
    <row r="4" spans="1:2" ht="30.75" customHeight="1" thickBot="1" x14ac:dyDescent="0.25">
      <c r="A4" s="76">
        <v>3</v>
      </c>
      <c r="B4" s="78" t="s">
        <v>883</v>
      </c>
    </row>
    <row r="5" spans="1:2" ht="38.25" customHeight="1" thickBot="1" x14ac:dyDescent="0.25">
      <c r="A5" s="680">
        <v>4</v>
      </c>
      <c r="B5" s="340" t="s">
        <v>884</v>
      </c>
    </row>
    <row r="6" spans="1:2" ht="39" customHeight="1" thickBot="1" x14ac:dyDescent="0.25">
      <c r="A6" s="605"/>
      <c r="B6" s="182" t="s">
        <v>885</v>
      </c>
    </row>
    <row r="7" spans="1:2" ht="26.25" customHeight="1" thickBot="1" x14ac:dyDescent="0.25">
      <c r="A7" s="483">
        <v>6</v>
      </c>
      <c r="B7" s="78" t="s">
        <v>886</v>
      </c>
    </row>
    <row r="8" spans="1:2" ht="26.25" customHeight="1" thickBot="1" x14ac:dyDescent="0.25">
      <c r="A8" s="483">
        <v>7</v>
      </c>
      <c r="B8" s="78" t="s">
        <v>887</v>
      </c>
    </row>
    <row r="9" spans="1:2" ht="39.950000000000003" customHeight="1" thickBot="1" x14ac:dyDescent="0.25">
      <c r="A9" s="100">
        <v>8</v>
      </c>
      <c r="B9" s="299"/>
    </row>
    <row r="10" spans="1:2" ht="39.950000000000003" customHeight="1" thickBot="1" x14ac:dyDescent="0.25">
      <c r="A10" s="131">
        <v>9</v>
      </c>
      <c r="B10" s="130"/>
    </row>
    <row r="11" spans="1:2" ht="39.950000000000003" customHeight="1" thickBot="1" x14ac:dyDescent="0.25">
      <c r="A11" s="133">
        <v>10</v>
      </c>
      <c r="B11" s="130"/>
    </row>
    <row r="12" spans="1:2" x14ac:dyDescent="0.2">
      <c r="A12" s="132"/>
    </row>
  </sheetData>
  <sheetProtection algorithmName="SHA-512" hashValue="eKNNcJIgPk8aqBR0OZ4VKiEMDc6wVLoxBzGicvDcvvZZs+xQ2P/V/hm3FbWE/g8XSOTroIixPDtxohz0e6gD/w==" saltValue="qbcTmY2470JQAXOXm/VdvA==" spinCount="100000" sheet="1" objects="1" scenarios="1"/>
  <mergeCells count="1">
    <mergeCell ref="A5:A6"/>
  </mergeCells>
  <pageMargins left="0.19685039370078741" right="0.27559055118110237" top="0.59055118110236227" bottom="0.35433070866141742" header="0.19685039370078741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77"/>
  <sheetViews>
    <sheetView showGridLines="0" showRowColHeaders="0" showZeros="0" view="pageLayout" zoomScaleNormal="100" zoomScaleSheetLayoutView="100" workbookViewId="0">
      <selection activeCell="B10" sqref="B10"/>
    </sheetView>
  </sheetViews>
  <sheetFormatPr baseColWidth="10" defaultRowHeight="12.75" x14ac:dyDescent="0.2"/>
  <cols>
    <col min="1" max="1" width="32.42578125" style="473" customWidth="1"/>
    <col min="2" max="2" width="15.5703125" style="473" customWidth="1"/>
    <col min="3" max="3" width="15.28515625" style="473" bestFit="1" customWidth="1"/>
    <col min="4" max="4" width="16.28515625" style="473" bestFit="1" customWidth="1"/>
    <col min="5" max="5" width="16.85546875" style="473" customWidth="1"/>
    <col min="6" max="6" width="11.28515625" style="473" bestFit="1" customWidth="1"/>
    <col min="7" max="7" width="12.85546875" style="473" bestFit="1" customWidth="1"/>
    <col min="8" max="8" width="17.7109375" style="473" customWidth="1"/>
    <col min="9" max="9" width="14.42578125" style="473" customWidth="1"/>
  </cols>
  <sheetData>
    <row r="1" spans="1:9" ht="18" customHeight="1" x14ac:dyDescent="0.2">
      <c r="A1" s="587" t="str">
        <f>+Übersicht!B2</f>
        <v>Förderung von Maschinen und Geräten der Außenwirtschaft nach Anlage 5 Teil A RL-EFP</v>
      </c>
      <c r="B1" s="587"/>
      <c r="C1" s="587"/>
      <c r="D1" s="587"/>
      <c r="E1" s="587"/>
      <c r="F1" s="587"/>
      <c r="G1" s="587"/>
    </row>
    <row r="2" spans="1:9" ht="15" customHeight="1" x14ac:dyDescent="0.2">
      <c r="A2" s="535"/>
      <c r="B2" s="536"/>
      <c r="C2" s="537"/>
      <c r="D2" s="534"/>
      <c r="E2" s="534"/>
      <c r="F2" s="534"/>
      <c r="G2" s="534"/>
    </row>
    <row r="3" spans="1:9" ht="15.6" customHeight="1" x14ac:dyDescent="0.2">
      <c r="A3" s="3"/>
      <c r="B3" s="398"/>
      <c r="C3" s="4"/>
      <c r="D3" s="4"/>
      <c r="E3" s="4"/>
      <c r="F3" s="4"/>
      <c r="G3" s="4"/>
    </row>
    <row r="4" spans="1:9" ht="15.75" customHeight="1" x14ac:dyDescent="0.25">
      <c r="A4" s="594" t="s">
        <v>17</v>
      </c>
      <c r="B4" s="560"/>
      <c r="C4" s="560"/>
      <c r="D4" s="560"/>
      <c r="E4" s="560"/>
      <c r="F4" s="560"/>
      <c r="G4" s="462"/>
    </row>
    <row r="5" spans="1:9" ht="12.75" customHeight="1" x14ac:dyDescent="0.2">
      <c r="A5" s="468"/>
      <c r="B5" s="586">
        <f>Übersicht!B8</f>
        <v>0</v>
      </c>
      <c r="C5" s="560"/>
      <c r="D5" s="560"/>
      <c r="E5" s="560"/>
      <c r="F5" s="560"/>
      <c r="G5" s="560"/>
      <c r="H5" s="460"/>
      <c r="I5" s="460"/>
    </row>
    <row r="6" spans="1:9" ht="13.5" customHeight="1" thickBot="1" x14ac:dyDescent="0.25">
      <c r="A6" s="188" t="s">
        <v>2</v>
      </c>
      <c r="B6" s="586" t="str">
        <f>Übersicht!B9</f>
        <v>Betrieb Name, Ort</v>
      </c>
      <c r="C6" s="560"/>
      <c r="D6" s="560"/>
      <c r="E6" s="560"/>
      <c r="F6" s="560"/>
      <c r="G6" s="560"/>
      <c r="H6" s="460"/>
      <c r="I6" s="460"/>
    </row>
    <row r="7" spans="1:9" ht="15" customHeight="1" thickBot="1" x14ac:dyDescent="0.25">
      <c r="A7" s="134"/>
      <c r="B7" s="588" t="s">
        <v>18</v>
      </c>
      <c r="C7" s="589"/>
      <c r="D7" s="589"/>
      <c r="E7" s="589"/>
      <c r="F7" s="590"/>
      <c r="G7" s="467"/>
    </row>
    <row r="8" spans="1:9" ht="32.25" customHeight="1" x14ac:dyDescent="0.2">
      <c r="A8" s="135"/>
      <c r="B8" s="463" t="s">
        <v>19</v>
      </c>
      <c r="C8" s="464" t="s">
        <v>20</v>
      </c>
      <c r="D8" s="464" t="s">
        <v>21</v>
      </c>
      <c r="E8" s="464" t="s">
        <v>22</v>
      </c>
      <c r="F8" s="208" t="s">
        <v>23</v>
      </c>
    </row>
    <row r="9" spans="1:9" ht="15" customHeight="1" x14ac:dyDescent="0.25">
      <c r="A9" s="213" t="s">
        <v>24</v>
      </c>
      <c r="B9" s="206" t="s">
        <v>25</v>
      </c>
      <c r="C9" s="207" t="s">
        <v>25</v>
      </c>
      <c r="D9" s="207" t="s">
        <v>25</v>
      </c>
      <c r="E9" s="207" t="s">
        <v>25</v>
      </c>
      <c r="F9" s="205" t="s">
        <v>25</v>
      </c>
    </row>
    <row r="10" spans="1:9" ht="22.5" customHeight="1" x14ac:dyDescent="0.2">
      <c r="A10" s="209" t="s">
        <v>26</v>
      </c>
      <c r="B10" s="285"/>
      <c r="C10" s="286"/>
      <c r="D10" s="286"/>
      <c r="E10" s="155"/>
      <c r="F10" s="287"/>
      <c r="H10" s="584" t="s">
        <v>6</v>
      </c>
    </row>
    <row r="11" spans="1:9" ht="22.5" customHeight="1" x14ac:dyDescent="0.2">
      <c r="A11" s="209" t="s">
        <v>27</v>
      </c>
      <c r="B11" s="285"/>
      <c r="C11" s="286"/>
      <c r="D11" s="286"/>
      <c r="E11" s="155"/>
      <c r="F11" s="287"/>
      <c r="G11" s="416"/>
      <c r="H11" s="585"/>
    </row>
    <row r="12" spans="1:9" ht="22.5" customHeight="1" x14ac:dyDescent="0.2">
      <c r="A12" s="209" t="s">
        <v>28</v>
      </c>
      <c r="B12" s="285"/>
      <c r="C12" s="286"/>
      <c r="D12" s="286">
        <v>0</v>
      </c>
      <c r="E12" s="155"/>
      <c r="F12" s="287"/>
    </row>
    <row r="13" spans="1:9" ht="22.5" customHeight="1" x14ac:dyDescent="0.2">
      <c r="A13" s="209" t="s">
        <v>29</v>
      </c>
      <c r="B13" s="285"/>
      <c r="C13" s="286"/>
      <c r="D13" s="286">
        <v>0</v>
      </c>
      <c r="E13" s="155"/>
      <c r="F13" s="287"/>
    </row>
    <row r="14" spans="1:9" ht="22.5" customHeight="1" x14ac:dyDescent="0.2">
      <c r="A14" s="210" t="s">
        <v>30</v>
      </c>
      <c r="B14" s="285"/>
      <c r="C14" s="286"/>
      <c r="D14" s="286"/>
      <c r="E14" s="155"/>
      <c r="F14" s="287"/>
    </row>
    <row r="15" spans="1:9" ht="22.5" customHeight="1" x14ac:dyDescent="0.2">
      <c r="A15" s="211" t="s">
        <v>31</v>
      </c>
      <c r="B15" s="285"/>
      <c r="C15" s="286"/>
      <c r="D15" s="286"/>
      <c r="E15" s="155"/>
      <c r="F15" s="287"/>
    </row>
    <row r="16" spans="1:9" ht="22.5" customHeight="1" x14ac:dyDescent="0.2">
      <c r="A16" s="211" t="s">
        <v>32</v>
      </c>
      <c r="B16" s="285"/>
      <c r="C16" s="286"/>
      <c r="D16" s="286"/>
      <c r="E16" s="155"/>
      <c r="F16" s="287"/>
    </row>
    <row r="17" spans="1:7" ht="22.5" customHeight="1" x14ac:dyDescent="0.2">
      <c r="A17" s="211" t="s">
        <v>33</v>
      </c>
      <c r="B17" s="285"/>
      <c r="C17" s="286"/>
      <c r="D17" s="286"/>
      <c r="E17" s="155"/>
      <c r="F17" s="287"/>
    </row>
    <row r="18" spans="1:7" ht="22.5" customHeight="1" x14ac:dyDescent="0.2">
      <c r="A18" s="211" t="s">
        <v>34</v>
      </c>
      <c r="B18" s="285"/>
      <c r="C18" s="286"/>
      <c r="D18" s="286"/>
      <c r="E18" s="155"/>
      <c r="F18" s="287"/>
    </row>
    <row r="19" spans="1:7" ht="22.5" customHeight="1" x14ac:dyDescent="0.2">
      <c r="A19" s="212" t="s">
        <v>35</v>
      </c>
      <c r="B19" s="285"/>
      <c r="C19" s="286"/>
      <c r="D19" s="286"/>
      <c r="E19" s="155"/>
      <c r="F19" s="287"/>
    </row>
    <row r="20" spans="1:7" ht="22.5" customHeight="1" x14ac:dyDescent="0.2">
      <c r="A20" s="212" t="s">
        <v>36</v>
      </c>
      <c r="B20" s="285"/>
      <c r="C20" s="286"/>
      <c r="D20" s="286"/>
      <c r="E20" s="155"/>
      <c r="F20" s="287"/>
    </row>
    <row r="21" spans="1:7" ht="22.5" customHeight="1" x14ac:dyDescent="0.2">
      <c r="A21" s="212" t="s">
        <v>37</v>
      </c>
      <c r="B21" s="285"/>
      <c r="C21" s="288"/>
      <c r="D21" s="288"/>
      <c r="E21" s="487"/>
      <c r="F21" s="289"/>
    </row>
    <row r="22" spans="1:7" ht="22.5" customHeight="1" thickBot="1" x14ac:dyDescent="0.25">
      <c r="A22" s="212" t="s">
        <v>38</v>
      </c>
      <c r="B22" s="236"/>
      <c r="C22" s="290"/>
      <c r="D22" s="290"/>
      <c r="E22" s="488"/>
      <c r="F22" s="291"/>
    </row>
    <row r="23" spans="1:7" ht="22.5" customHeight="1" thickBot="1" x14ac:dyDescent="0.25">
      <c r="A23" s="214" t="s">
        <v>39</v>
      </c>
      <c r="B23" s="292">
        <f>SUM(B10:B22)</f>
        <v>0</v>
      </c>
      <c r="C23" s="293">
        <f>SUM(C10:C22)</f>
        <v>0</v>
      </c>
      <c r="D23" s="293">
        <f>SUM(D10:D22)</f>
        <v>0</v>
      </c>
      <c r="E23" s="293">
        <f>SUM(E10:E22)</f>
        <v>0</v>
      </c>
      <c r="F23" s="294">
        <f>SUM(F10:F22)</f>
        <v>0</v>
      </c>
    </row>
    <row r="24" spans="1:7" ht="22.5" customHeight="1" thickBot="1" x14ac:dyDescent="0.25">
      <c r="A24" s="284" t="s">
        <v>40</v>
      </c>
      <c r="B24" s="591">
        <f>SUM(B23:F23)</f>
        <v>0</v>
      </c>
      <c r="C24" s="592"/>
      <c r="D24" s="592"/>
      <c r="E24" s="592"/>
      <c r="F24" s="593"/>
    </row>
    <row r="25" spans="1:7" x14ac:dyDescent="0.2">
      <c r="A25" s="583"/>
      <c r="B25" s="560"/>
      <c r="C25" s="560"/>
      <c r="D25" s="560"/>
      <c r="E25" s="560"/>
      <c r="F25" s="560"/>
      <c r="G25" s="560"/>
    </row>
    <row r="26" spans="1:7" x14ac:dyDescent="0.2">
      <c r="A26" s="156"/>
      <c r="B26" s="441"/>
      <c r="C26" s="441"/>
      <c r="D26" s="441"/>
      <c r="E26" s="441"/>
      <c r="F26" s="412"/>
      <c r="G26" s="412"/>
    </row>
    <row r="27" spans="1:7" x14ac:dyDescent="0.2">
      <c r="A27" s="445"/>
      <c r="B27" s="441"/>
      <c r="C27" s="433"/>
      <c r="D27" s="433"/>
      <c r="E27" s="433"/>
      <c r="F27" s="412"/>
      <c r="G27" s="412"/>
    </row>
    <row r="28" spans="1:7" x14ac:dyDescent="0.2">
      <c r="A28" s="445"/>
      <c r="B28" s="441"/>
      <c r="C28" s="433"/>
      <c r="D28" s="433"/>
      <c r="E28" s="433"/>
      <c r="F28" s="434"/>
      <c r="G28" s="434"/>
    </row>
    <row r="29" spans="1:7" x14ac:dyDescent="0.2">
      <c r="A29" s="445"/>
      <c r="B29" s="441"/>
      <c r="C29" s="433"/>
      <c r="D29" s="433"/>
      <c r="E29" s="433"/>
      <c r="F29" s="434"/>
      <c r="G29" s="434"/>
    </row>
    <row r="30" spans="1:7" x14ac:dyDescent="0.2">
      <c r="A30" s="445"/>
      <c r="B30" s="441"/>
      <c r="C30" s="433"/>
      <c r="D30" s="433"/>
      <c r="E30" s="433"/>
      <c r="F30" s="434"/>
      <c r="G30" s="434"/>
    </row>
    <row r="31" spans="1:7" x14ac:dyDescent="0.2">
      <c r="A31" s="445"/>
      <c r="B31" s="426"/>
      <c r="C31" s="426"/>
      <c r="D31" s="426"/>
      <c r="E31" s="426"/>
      <c r="F31" s="434"/>
      <c r="G31" s="434"/>
    </row>
    <row r="32" spans="1:7" x14ac:dyDescent="0.2">
      <c r="A32" s="445"/>
      <c r="B32" s="441"/>
      <c r="C32" s="433"/>
      <c r="D32" s="433"/>
      <c r="E32" s="433"/>
      <c r="F32" s="423"/>
      <c r="G32" s="423"/>
    </row>
    <row r="33" spans="1:7" x14ac:dyDescent="0.2">
      <c r="A33" s="445"/>
      <c r="B33" s="441"/>
      <c r="C33" s="433"/>
      <c r="D33" s="433"/>
      <c r="E33" s="433"/>
      <c r="F33" s="423"/>
      <c r="G33" s="423"/>
    </row>
    <row r="34" spans="1:7" x14ac:dyDescent="0.2">
      <c r="A34" s="445"/>
      <c r="B34" s="441"/>
      <c r="C34" s="433"/>
      <c r="D34" s="433"/>
      <c r="E34" s="433"/>
      <c r="F34" s="423"/>
      <c r="G34" s="423"/>
    </row>
    <row r="35" spans="1:7" x14ac:dyDescent="0.2">
      <c r="A35" s="445"/>
      <c r="B35" s="441"/>
      <c r="C35" s="433"/>
      <c r="D35" s="433"/>
      <c r="E35" s="433"/>
      <c r="F35" s="423"/>
      <c r="G35" s="423"/>
    </row>
    <row r="36" spans="1:7" x14ac:dyDescent="0.2">
      <c r="A36" s="445"/>
      <c r="B36" s="441"/>
      <c r="C36" s="433"/>
      <c r="D36" s="433"/>
      <c r="E36" s="433"/>
      <c r="F36" s="423"/>
      <c r="G36" s="423"/>
    </row>
    <row r="37" spans="1:7" x14ac:dyDescent="0.2">
      <c r="A37" s="445"/>
      <c r="B37" s="441"/>
      <c r="C37" s="433"/>
      <c r="D37" s="433"/>
      <c r="E37" s="433"/>
      <c r="F37" s="423"/>
      <c r="G37" s="423"/>
    </row>
    <row r="38" spans="1:7" x14ac:dyDescent="0.2">
      <c r="A38" s="445"/>
      <c r="B38" s="441"/>
      <c r="C38" s="433"/>
      <c r="D38" s="433"/>
      <c r="E38" s="433"/>
      <c r="F38" s="423"/>
      <c r="G38" s="423"/>
    </row>
    <row r="39" spans="1:7" x14ac:dyDescent="0.2">
      <c r="A39" s="445"/>
      <c r="B39" s="441"/>
      <c r="C39" s="433"/>
      <c r="D39" s="433"/>
      <c r="E39" s="433"/>
      <c r="F39" s="423"/>
      <c r="G39" s="423"/>
    </row>
    <row r="40" spans="1:7" x14ac:dyDescent="0.2">
      <c r="A40" s="445"/>
      <c r="B40" s="441"/>
      <c r="C40" s="433"/>
      <c r="D40" s="433"/>
      <c r="E40" s="433"/>
      <c r="F40" s="423"/>
      <c r="G40" s="423"/>
    </row>
    <row r="41" spans="1:7" x14ac:dyDescent="0.2">
      <c r="A41" s="445"/>
      <c r="B41" s="441"/>
      <c r="C41" s="433"/>
      <c r="D41" s="433"/>
      <c r="E41" s="433"/>
      <c r="F41" s="423"/>
      <c r="G41" s="423"/>
    </row>
    <row r="42" spans="1:7" x14ac:dyDescent="0.2">
      <c r="A42" s="445"/>
      <c r="B42" s="441"/>
      <c r="C42" s="433"/>
      <c r="D42" s="433"/>
      <c r="E42" s="433"/>
      <c r="F42" s="423"/>
      <c r="G42" s="423"/>
    </row>
    <row r="43" spans="1:7" x14ac:dyDescent="0.2">
      <c r="A43" s="445"/>
      <c r="B43" s="441"/>
      <c r="C43" s="433"/>
      <c r="D43" s="433"/>
      <c r="E43" s="433"/>
      <c r="F43" s="423"/>
      <c r="G43" s="423"/>
    </row>
    <row r="44" spans="1:7" x14ac:dyDescent="0.2">
      <c r="A44" s="445"/>
      <c r="B44" s="441"/>
      <c r="C44" s="433"/>
      <c r="D44" s="433"/>
      <c r="E44" s="433"/>
      <c r="F44" s="423"/>
      <c r="G44" s="423"/>
    </row>
    <row r="45" spans="1:7" x14ac:dyDescent="0.2">
      <c r="A45" s="445"/>
      <c r="B45" s="441"/>
      <c r="C45" s="433"/>
      <c r="D45" s="433"/>
      <c r="E45" s="433"/>
      <c r="F45" s="423"/>
      <c r="G45" s="423"/>
    </row>
    <row r="46" spans="1:7" x14ac:dyDescent="0.2">
      <c r="A46" s="445"/>
      <c r="B46" s="441"/>
      <c r="C46" s="433"/>
      <c r="D46" s="433"/>
      <c r="E46" s="433"/>
      <c r="F46" s="423"/>
      <c r="G46" s="423"/>
    </row>
    <row r="47" spans="1:7" x14ac:dyDescent="0.2">
      <c r="A47" s="445"/>
      <c r="B47" s="441"/>
      <c r="C47" s="433"/>
      <c r="D47" s="433"/>
      <c r="E47" s="433"/>
      <c r="F47" s="423"/>
      <c r="G47" s="423"/>
    </row>
    <row r="48" spans="1:7" x14ac:dyDescent="0.2">
      <c r="A48" s="445"/>
      <c r="B48" s="441"/>
      <c r="C48" s="433"/>
      <c r="D48" s="433"/>
      <c r="E48" s="433"/>
      <c r="F48" s="423"/>
      <c r="G48" s="423"/>
    </row>
    <row r="49" spans="1:7" x14ac:dyDescent="0.2">
      <c r="A49" s="445"/>
      <c r="B49" s="441"/>
      <c r="C49" s="433"/>
      <c r="D49" s="433"/>
      <c r="E49" s="433"/>
      <c r="F49" s="423"/>
      <c r="G49" s="423"/>
    </row>
    <row r="50" spans="1:7" x14ac:dyDescent="0.2">
      <c r="A50" s="445"/>
      <c r="B50" s="441"/>
      <c r="C50" s="433"/>
      <c r="D50" s="433"/>
      <c r="E50" s="433"/>
      <c r="F50" s="423"/>
      <c r="G50" s="423"/>
    </row>
    <row r="51" spans="1:7" x14ac:dyDescent="0.2">
      <c r="A51" s="445"/>
      <c r="B51" s="441"/>
      <c r="C51" s="441"/>
      <c r="D51" s="441"/>
      <c r="E51" s="441"/>
      <c r="F51" s="423"/>
      <c r="G51" s="423"/>
    </row>
    <row r="52" spans="1:7" x14ac:dyDescent="0.2">
      <c r="A52" s="445"/>
      <c r="B52" s="433"/>
      <c r="C52" s="433"/>
      <c r="D52" s="433"/>
      <c r="E52" s="433"/>
      <c r="F52" s="423"/>
      <c r="G52" s="423"/>
    </row>
    <row r="53" spans="1:7" x14ac:dyDescent="0.2">
      <c r="A53" s="445"/>
      <c r="B53" s="433"/>
      <c r="C53" s="426"/>
      <c r="D53" s="426"/>
      <c r="E53" s="426"/>
      <c r="F53" s="423"/>
      <c r="G53" s="423"/>
    </row>
    <row r="54" spans="1:7" x14ac:dyDescent="0.2">
      <c r="A54" s="445"/>
      <c r="B54" s="441"/>
      <c r="C54" s="433"/>
      <c r="D54" s="433"/>
      <c r="E54" s="433"/>
      <c r="F54" s="427"/>
      <c r="G54" s="427"/>
    </row>
    <row r="55" spans="1:7" x14ac:dyDescent="0.2">
      <c r="A55" s="445"/>
      <c r="B55" s="441"/>
      <c r="C55" s="441"/>
      <c r="D55" s="441"/>
      <c r="E55" s="441"/>
      <c r="F55" s="428"/>
      <c r="G55" s="428"/>
    </row>
    <row r="56" spans="1:7" x14ac:dyDescent="0.2">
      <c r="A56" s="445"/>
      <c r="B56" s="441"/>
      <c r="C56" s="441"/>
      <c r="D56" s="441"/>
      <c r="E56" s="441"/>
      <c r="F56" s="423"/>
      <c r="G56" s="423"/>
    </row>
    <row r="57" spans="1:7" x14ac:dyDescent="0.2">
      <c r="A57" s="445"/>
      <c r="B57" s="441"/>
      <c r="C57" s="429"/>
      <c r="D57" s="429"/>
      <c r="E57" s="429"/>
      <c r="F57" s="430"/>
      <c r="G57" s="430"/>
    </row>
    <row r="58" spans="1:7" x14ac:dyDescent="0.2">
      <c r="A58" s="445"/>
      <c r="B58" s="429"/>
      <c r="F58" s="431"/>
      <c r="G58" s="431"/>
    </row>
    <row r="59" spans="1:7" x14ac:dyDescent="0.2">
      <c r="A59" s="445"/>
      <c r="B59" s="441"/>
      <c r="C59" s="433"/>
      <c r="D59" s="433"/>
      <c r="E59" s="433"/>
      <c r="F59" s="423"/>
      <c r="G59" s="423"/>
    </row>
    <row r="60" spans="1:7" x14ac:dyDescent="0.2">
      <c r="A60" s="440"/>
      <c r="B60" s="441"/>
      <c r="C60" s="441"/>
      <c r="D60" s="441"/>
      <c r="E60" s="441"/>
      <c r="F60" s="432"/>
      <c r="G60" s="432"/>
    </row>
    <row r="61" spans="1:7" x14ac:dyDescent="0.2">
      <c r="A61" s="445"/>
      <c r="B61" s="441"/>
      <c r="C61" s="433"/>
      <c r="D61" s="433"/>
      <c r="E61" s="433"/>
      <c r="F61" s="434"/>
      <c r="G61" s="434"/>
    </row>
    <row r="62" spans="1:7" x14ac:dyDescent="0.2">
      <c r="A62" s="442"/>
      <c r="B62" s="441"/>
      <c r="C62" s="433"/>
      <c r="D62" s="433"/>
      <c r="E62" s="433"/>
      <c r="F62" s="434"/>
      <c r="G62" s="434"/>
    </row>
    <row r="63" spans="1:7" x14ac:dyDescent="0.2">
      <c r="A63" s="442"/>
      <c r="B63" s="441"/>
      <c r="C63" s="433"/>
      <c r="D63" s="433"/>
      <c r="E63" s="433"/>
      <c r="F63" s="434"/>
      <c r="G63" s="434"/>
    </row>
    <row r="64" spans="1:7" x14ac:dyDescent="0.2">
      <c r="A64" s="442"/>
      <c r="B64" s="441"/>
      <c r="C64" s="433"/>
      <c r="D64" s="433"/>
      <c r="E64" s="433"/>
      <c r="F64" s="434"/>
      <c r="G64" s="434"/>
    </row>
    <row r="65" spans="1:7" x14ac:dyDescent="0.2">
      <c r="A65" s="442"/>
      <c r="B65" s="441"/>
      <c r="C65" s="433"/>
      <c r="D65" s="433"/>
      <c r="E65" s="433"/>
      <c r="F65" s="434"/>
      <c r="G65" s="434"/>
    </row>
    <row r="66" spans="1:7" x14ac:dyDescent="0.2">
      <c r="A66" s="445"/>
      <c r="B66" s="441"/>
      <c r="C66" s="433"/>
      <c r="D66" s="433"/>
      <c r="E66" s="433"/>
      <c r="F66" s="434"/>
      <c r="G66" s="434"/>
    </row>
    <row r="67" spans="1:7" x14ac:dyDescent="0.2">
      <c r="A67" s="445"/>
      <c r="B67" s="441"/>
      <c r="C67" s="433"/>
      <c r="D67" s="433"/>
      <c r="E67" s="433"/>
      <c r="F67" s="434"/>
      <c r="G67" s="434"/>
    </row>
    <row r="68" spans="1:7" x14ac:dyDescent="0.2">
      <c r="A68" s="446"/>
      <c r="B68" s="447"/>
      <c r="C68" s="438"/>
      <c r="D68" s="438"/>
      <c r="E68" s="438"/>
      <c r="F68" s="439"/>
      <c r="G68" s="439"/>
    </row>
    <row r="69" spans="1:7" x14ac:dyDescent="0.2">
      <c r="A69" s="448"/>
      <c r="B69" s="439"/>
      <c r="C69" s="439"/>
      <c r="D69" s="439"/>
      <c r="E69" s="439"/>
      <c r="F69" s="439"/>
      <c r="G69" s="439"/>
    </row>
    <row r="70" spans="1:7" x14ac:dyDescent="0.2">
      <c r="A70" s="448"/>
      <c r="B70" s="439"/>
      <c r="C70" s="439"/>
      <c r="D70" s="439"/>
      <c r="E70" s="439"/>
      <c r="F70" s="439"/>
      <c r="G70" s="439"/>
    </row>
    <row r="71" spans="1:7" x14ac:dyDescent="0.2">
      <c r="A71" s="448"/>
      <c r="B71" s="439"/>
      <c r="C71" s="439"/>
      <c r="D71" s="439"/>
      <c r="E71" s="439"/>
      <c r="F71" s="439"/>
      <c r="G71" s="439"/>
    </row>
    <row r="72" spans="1:7" x14ac:dyDescent="0.2">
      <c r="A72" s="448"/>
      <c r="B72" s="439"/>
      <c r="C72" s="439"/>
      <c r="D72" s="439"/>
      <c r="E72" s="439"/>
      <c r="F72" s="439"/>
      <c r="G72" s="439"/>
    </row>
    <row r="73" spans="1:7" x14ac:dyDescent="0.2">
      <c r="A73" s="448"/>
      <c r="B73" s="439"/>
      <c r="C73" s="439"/>
      <c r="D73" s="439"/>
      <c r="E73" s="439"/>
      <c r="F73" s="439"/>
      <c r="G73" s="439"/>
    </row>
    <row r="74" spans="1:7" x14ac:dyDescent="0.2">
      <c r="A74" s="448"/>
      <c r="B74" s="439"/>
      <c r="C74" s="439"/>
      <c r="D74" s="439"/>
      <c r="E74" s="439"/>
      <c r="F74" s="439"/>
      <c r="G74" s="439"/>
    </row>
    <row r="75" spans="1:7" x14ac:dyDescent="0.2">
      <c r="A75" s="449"/>
      <c r="B75" s="450"/>
      <c r="C75" s="443"/>
      <c r="D75" s="443"/>
      <c r="E75" s="443"/>
      <c r="F75" s="444"/>
      <c r="G75" s="444"/>
    </row>
    <row r="76" spans="1:7" x14ac:dyDescent="0.2">
      <c r="A76" s="451"/>
      <c r="B76" s="450"/>
      <c r="C76" s="443"/>
      <c r="D76" s="443"/>
      <c r="E76" s="443"/>
      <c r="F76" s="444"/>
      <c r="G76" s="444"/>
    </row>
    <row r="77" spans="1:7" x14ac:dyDescent="0.2">
      <c r="A77" s="451"/>
      <c r="B77" s="450"/>
      <c r="C77" s="443"/>
      <c r="D77" s="443"/>
      <c r="E77" s="443"/>
      <c r="F77" s="444"/>
      <c r="G77" s="444"/>
    </row>
  </sheetData>
  <sheetProtection algorithmName="SHA-512" hashValue="soSR3MMXsnOM5g7/gAGEQwnm6k0pJb1XXB1ZEhkGEP3GswUaPsmfnc9us+tqP+pX3tcgktWMl/1Y2KL2g8sZaQ==" saltValue="QeVNLDUeYFG6uis5v2rK+w==" spinCount="100000" sheet="1" objects="1" scenarios="1"/>
  <mergeCells count="8">
    <mergeCell ref="A25:G25"/>
    <mergeCell ref="H10:H11"/>
    <mergeCell ref="B6:G6"/>
    <mergeCell ref="A1:G1"/>
    <mergeCell ref="B7:F7"/>
    <mergeCell ref="B24:F24"/>
    <mergeCell ref="B5:G5"/>
    <mergeCell ref="A4:F4"/>
  </mergeCells>
  <dataValidations count="1">
    <dataValidation type="whole" allowBlank="1" showInputMessage="1" showErrorMessage="1" sqref="B21:B22 C10:F20 B11:B20 B10" xr:uid="{B1223DFE-875C-41D5-B78C-0C5D1026FECE}">
      <formula1>0</formula1>
      <formula2>10000</formula2>
    </dataValidation>
  </dataValidations>
  <printOptions horizontalCentered="1"/>
  <pageMargins left="0.19685039370078741" right="0.27559055118110237" top="0.59055118110236227" bottom="0.35433070866141736" header="0.19685039370078741" footer="0"/>
  <pageSetup paperSize="9" scale="69" orientation="landscape" r:id="rId1"/>
  <headerFooter scaleWithDoc="0" alignWithMargins="0">
    <oddFooter>&amp;R&amp;F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80"/>
  <sheetViews>
    <sheetView showGridLines="0" showRowColHeaders="0" showZeros="0" view="pageLayout" topLeftCell="A11" zoomScaleNormal="100" zoomScaleSheetLayoutView="130" workbookViewId="0">
      <selection activeCell="B5" sqref="B5:O5"/>
    </sheetView>
  </sheetViews>
  <sheetFormatPr baseColWidth="10" defaultRowHeight="12.75" x14ac:dyDescent="0.2"/>
  <cols>
    <col min="1" max="1" width="16.85546875" style="473" customWidth="1"/>
    <col min="2" max="2" width="6.7109375" style="473" customWidth="1"/>
    <col min="3" max="3" width="4.7109375" style="473" customWidth="1"/>
    <col min="4" max="4" width="5.42578125" style="473" customWidth="1"/>
    <col min="5" max="5" width="4.28515625" style="473" customWidth="1"/>
    <col min="6" max="7" width="5.42578125" style="473" customWidth="1"/>
    <col min="8" max="8" width="4.85546875" style="473" customWidth="1"/>
    <col min="9" max="9" width="4.85546875" style="473" bestFit="1" customWidth="1"/>
    <col min="10" max="10" width="5.28515625" style="473" customWidth="1"/>
    <col min="11" max="11" width="4" style="473" bestFit="1" customWidth="1"/>
    <col min="12" max="12" width="4.7109375" style="473" customWidth="1"/>
    <col min="13" max="13" width="5.140625" style="473" customWidth="1"/>
    <col min="14" max="14" width="3.85546875" style="473" customWidth="1"/>
    <col min="15" max="15" width="4.85546875" style="473" bestFit="1" customWidth="1"/>
    <col min="16" max="16" width="5.5703125" style="473" customWidth="1"/>
    <col min="17" max="17" width="5.85546875" style="473" customWidth="1"/>
    <col min="18" max="18" width="8.5703125" style="473" customWidth="1"/>
    <col min="19" max="19" width="9.28515625" style="473" customWidth="1"/>
  </cols>
  <sheetData>
    <row r="1" spans="1:22" ht="18" customHeight="1" x14ac:dyDescent="0.2">
      <c r="A1" s="602" t="s">
        <v>895</v>
      </c>
      <c r="B1" s="602"/>
      <c r="C1" s="602"/>
      <c r="D1" s="602"/>
      <c r="E1" s="602"/>
      <c r="F1" s="602"/>
      <c r="G1" s="602"/>
      <c r="H1" s="544"/>
      <c r="I1" s="544"/>
      <c r="J1" s="544"/>
      <c r="K1" s="544"/>
      <c r="L1" s="544"/>
      <c r="M1" s="544"/>
    </row>
    <row r="2" spans="1:22" ht="15.75" customHeight="1" x14ac:dyDescent="0.2">
      <c r="A2" s="545"/>
      <c r="B2" s="546"/>
      <c r="C2" s="546"/>
      <c r="D2" s="547"/>
      <c r="E2" s="547"/>
      <c r="F2" s="547"/>
      <c r="G2" s="547"/>
      <c r="H2" s="547"/>
      <c r="I2" s="547"/>
      <c r="J2" s="547"/>
      <c r="K2" s="547"/>
      <c r="L2" s="547"/>
      <c r="M2" s="547"/>
      <c r="N2" s="458"/>
      <c r="O2" s="458"/>
      <c r="P2" s="458"/>
      <c r="Q2" s="458"/>
      <c r="R2" s="458"/>
      <c r="S2" s="458"/>
    </row>
    <row r="3" spans="1:22" ht="2.25" customHeight="1" x14ac:dyDescent="0.2">
      <c r="A3" s="3"/>
      <c r="B3" s="398"/>
      <c r="C3" s="398"/>
      <c r="D3" s="4"/>
      <c r="E3" s="4"/>
      <c r="F3" s="4"/>
      <c r="G3" s="4"/>
      <c r="H3" s="4"/>
      <c r="I3" s="4"/>
      <c r="J3" s="4"/>
      <c r="K3" s="4"/>
      <c r="M3" s="4"/>
      <c r="N3" s="4"/>
    </row>
    <row r="4" spans="1:22" ht="16.5" customHeight="1" thickBot="1" x14ac:dyDescent="0.3">
      <c r="A4" s="594" t="s">
        <v>41</v>
      </c>
      <c r="B4" s="560"/>
      <c r="C4" s="560"/>
      <c r="D4" s="560"/>
      <c r="E4" s="560"/>
      <c r="F4" s="560"/>
      <c r="G4" s="560"/>
      <c r="H4" s="560"/>
      <c r="I4" s="560"/>
      <c r="J4" s="560"/>
      <c r="K4" s="560"/>
      <c r="L4" s="560"/>
      <c r="M4" s="560"/>
      <c r="N4" s="560"/>
      <c r="O4" s="560"/>
      <c r="P4" s="560"/>
      <c r="Q4" s="560"/>
      <c r="R4" s="560"/>
    </row>
    <row r="5" spans="1:22" ht="12.75" customHeight="1" x14ac:dyDescent="0.2">
      <c r="A5" s="468" t="s">
        <v>1</v>
      </c>
      <c r="B5" s="586">
        <f>Übersicht!B8</f>
        <v>0</v>
      </c>
      <c r="C5" s="560"/>
      <c r="D5" s="560"/>
      <c r="E5" s="560"/>
      <c r="F5" s="560"/>
      <c r="G5" s="560"/>
      <c r="H5" s="560"/>
      <c r="I5" s="560"/>
      <c r="J5" s="560"/>
      <c r="K5" s="560"/>
      <c r="L5" s="560"/>
      <c r="M5" s="560"/>
      <c r="N5" s="560"/>
      <c r="O5" s="560"/>
      <c r="P5" s="609" t="s">
        <v>42</v>
      </c>
      <c r="Q5" s="609" t="s">
        <v>43</v>
      </c>
      <c r="R5" s="606" t="s">
        <v>44</v>
      </c>
      <c r="S5" s="603" t="s">
        <v>45</v>
      </c>
      <c r="T5" s="460"/>
      <c r="U5" s="460"/>
    </row>
    <row r="6" spans="1:22" ht="13.5" customHeight="1" thickBot="1" x14ac:dyDescent="0.25">
      <c r="A6" s="468" t="s">
        <v>2</v>
      </c>
      <c r="B6" s="586" t="str">
        <f>Übersicht!B9</f>
        <v>Betrieb Name, Ort</v>
      </c>
      <c r="C6" s="560"/>
      <c r="D6" s="560"/>
      <c r="E6" s="560"/>
      <c r="F6" s="560"/>
      <c r="G6" s="560"/>
      <c r="H6" s="560"/>
      <c r="I6" s="560"/>
      <c r="J6" s="560"/>
      <c r="K6" s="560"/>
      <c r="L6" s="560"/>
      <c r="M6" s="560"/>
      <c r="N6" s="560"/>
      <c r="O6" s="560"/>
      <c r="P6" s="604"/>
      <c r="Q6" s="604"/>
      <c r="R6" s="607"/>
      <c r="S6" s="604"/>
      <c r="T6" s="460"/>
      <c r="U6" s="460"/>
    </row>
    <row r="7" spans="1:22" ht="13.5" customHeight="1" thickBot="1" x14ac:dyDescent="0.25">
      <c r="A7" s="134"/>
      <c r="B7" s="608" t="s">
        <v>46</v>
      </c>
      <c r="C7" s="589"/>
      <c r="D7" s="589"/>
      <c r="E7" s="589"/>
      <c r="F7" s="589"/>
      <c r="G7" s="589"/>
      <c r="H7" s="589"/>
      <c r="I7" s="589"/>
      <c r="J7" s="589"/>
      <c r="K7" s="589"/>
      <c r="L7" s="589"/>
      <c r="M7" s="589"/>
      <c r="N7" s="589"/>
      <c r="O7" s="589"/>
      <c r="P7" s="604"/>
      <c r="Q7" s="604"/>
      <c r="R7" s="607"/>
      <c r="S7" s="604"/>
    </row>
    <row r="8" spans="1:22" ht="33.75" customHeight="1" x14ac:dyDescent="0.2">
      <c r="A8" s="135"/>
      <c r="B8" s="610" t="s">
        <v>19</v>
      </c>
      <c r="C8" s="600"/>
      <c r="D8" s="598" t="s">
        <v>47</v>
      </c>
      <c r="E8" s="599"/>
      <c r="F8" s="600"/>
      <c r="G8" s="598" t="s">
        <v>21</v>
      </c>
      <c r="H8" s="599"/>
      <c r="I8" s="600"/>
      <c r="J8" s="598" t="s">
        <v>48</v>
      </c>
      <c r="K8" s="599"/>
      <c r="L8" s="600"/>
      <c r="M8" s="598" t="s">
        <v>23</v>
      </c>
      <c r="N8" s="599"/>
      <c r="O8" s="600"/>
      <c r="P8" s="604"/>
      <c r="Q8" s="604"/>
      <c r="R8" s="607"/>
      <c r="S8" s="604"/>
    </row>
    <row r="9" spans="1:22" ht="24" customHeight="1" x14ac:dyDescent="0.2">
      <c r="A9" s="135"/>
      <c r="B9" s="601"/>
      <c r="C9" s="597"/>
      <c r="D9" s="595" t="s">
        <v>49</v>
      </c>
      <c r="E9" s="596"/>
      <c r="F9" s="597"/>
      <c r="G9" s="595" t="s">
        <v>50</v>
      </c>
      <c r="H9" s="596"/>
      <c r="I9" s="597"/>
      <c r="J9" s="595" t="s">
        <v>51</v>
      </c>
      <c r="K9" s="596"/>
      <c r="L9" s="597"/>
      <c r="M9" s="595" t="s">
        <v>52</v>
      </c>
      <c r="N9" s="596"/>
      <c r="O9" s="597"/>
      <c r="P9" s="604"/>
      <c r="Q9" s="604"/>
      <c r="R9" s="607"/>
      <c r="S9" s="604"/>
    </row>
    <row r="10" spans="1:22" ht="73.5" customHeight="1" thickBot="1" x14ac:dyDescent="0.25">
      <c r="A10" s="198" t="s">
        <v>24</v>
      </c>
      <c r="B10" s="199" t="s">
        <v>25</v>
      </c>
      <c r="C10" s="200" t="s">
        <v>53</v>
      </c>
      <c r="D10" s="201" t="s">
        <v>25</v>
      </c>
      <c r="E10" s="202" t="s">
        <v>54</v>
      </c>
      <c r="F10" s="203" t="s">
        <v>55</v>
      </c>
      <c r="G10" s="201" t="s">
        <v>25</v>
      </c>
      <c r="H10" s="202" t="s">
        <v>56</v>
      </c>
      <c r="I10" s="203" t="s">
        <v>55</v>
      </c>
      <c r="J10" s="201" t="s">
        <v>25</v>
      </c>
      <c r="K10" s="202" t="s">
        <v>56</v>
      </c>
      <c r="L10" s="204" t="s">
        <v>55</v>
      </c>
      <c r="M10" s="201" t="s">
        <v>25</v>
      </c>
      <c r="N10" s="202" t="s">
        <v>56</v>
      </c>
      <c r="O10" s="203" t="s">
        <v>55</v>
      </c>
      <c r="P10" s="605"/>
      <c r="Q10" s="605"/>
      <c r="R10" s="607"/>
      <c r="S10" s="605"/>
      <c r="V10" s="172"/>
    </row>
    <row r="11" spans="1:22" ht="12.95" customHeight="1" x14ac:dyDescent="0.2">
      <c r="A11" s="189" t="s">
        <v>26</v>
      </c>
      <c r="B11" s="193">
        <f>'Eingabemaske Rindvieh'!B10</f>
        <v>0</v>
      </c>
      <c r="C11" s="194">
        <v>1.58</v>
      </c>
      <c r="D11" s="147">
        <f>'Eingabemaske Rindvieh'!C10</f>
        <v>0</v>
      </c>
      <c r="E11" s="489">
        <v>0.79</v>
      </c>
      <c r="F11" s="490">
        <v>5.4</v>
      </c>
      <c r="G11" s="147">
        <f>'Eingabemaske Rindvieh'!D10</f>
        <v>0</v>
      </c>
      <c r="H11" s="195" t="s">
        <v>57</v>
      </c>
      <c r="I11" s="491">
        <v>10.8</v>
      </c>
      <c r="J11" s="196">
        <f>'Eingabemaske Rindvieh'!E10</f>
        <v>0</v>
      </c>
      <c r="K11" s="489">
        <v>0.5</v>
      </c>
      <c r="L11" s="492">
        <v>7.5</v>
      </c>
      <c r="M11" s="147">
        <f>'Eingabemaske Rindvieh'!F10</f>
        <v>0</v>
      </c>
      <c r="N11" s="197">
        <v>0.25</v>
      </c>
      <c r="O11" s="493">
        <v>8.3333333333333339</v>
      </c>
      <c r="P11" s="80">
        <f>Übersicht!C11</f>
        <v>12</v>
      </c>
      <c r="Q11" s="129">
        <f>Übersicht!C12</f>
        <v>0</v>
      </c>
      <c r="R11" s="60">
        <f t="shared" ref="R11:R21" si="0">(B11*C11+D11*E11+J11*K11+M11*N11)*$P$11</f>
        <v>0</v>
      </c>
      <c r="S11" s="61">
        <f t="shared" ref="S11:S21" si="1">((D11*F11+G11*I11+J11*L11+M11*O11)/10*$Q$11*1000/850)</f>
        <v>0</v>
      </c>
      <c r="T11" s="416"/>
    </row>
    <row r="12" spans="1:22" ht="12.95" customHeight="1" x14ac:dyDescent="0.2">
      <c r="A12" s="189" t="s">
        <v>27</v>
      </c>
      <c r="B12" s="146">
        <f>'Eingabemaske Rindvieh'!B11</f>
        <v>0</v>
      </c>
      <c r="C12" s="32">
        <v>1.66</v>
      </c>
      <c r="D12" s="147">
        <f>'Eingabemaske Rindvieh'!C11</f>
        <v>0</v>
      </c>
      <c r="E12" s="494">
        <v>0.83</v>
      </c>
      <c r="F12" s="490">
        <v>5.8</v>
      </c>
      <c r="G12" s="147">
        <f>'Eingabemaske Rindvieh'!D11</f>
        <v>0</v>
      </c>
      <c r="H12" s="31" t="s">
        <v>57</v>
      </c>
      <c r="I12" s="491">
        <v>11.6</v>
      </c>
      <c r="J12" s="148">
        <f>'Eingabemaske Rindvieh'!E11</f>
        <v>0</v>
      </c>
      <c r="K12" s="494">
        <v>0.53</v>
      </c>
      <c r="L12" s="495">
        <v>8.3000000000000007</v>
      </c>
      <c r="M12" s="147">
        <f>'Eingabemaske Rindvieh'!F11</f>
        <v>0</v>
      </c>
      <c r="N12" s="25">
        <v>0.26666666666666672</v>
      </c>
      <c r="O12" s="496">
        <v>9.1666666666666661</v>
      </c>
      <c r="P12" s="45">
        <f t="shared" ref="P12:P23" si="2">$P$11</f>
        <v>12</v>
      </c>
      <c r="Q12" s="59">
        <f t="shared" ref="Q12:Q23" si="3">$Q$11</f>
        <v>0</v>
      </c>
      <c r="R12" s="44">
        <f t="shared" si="0"/>
        <v>0</v>
      </c>
      <c r="S12" s="62">
        <f t="shared" si="1"/>
        <v>0</v>
      </c>
      <c r="T12" s="416"/>
    </row>
    <row r="13" spans="1:22" ht="12.95" customHeight="1" x14ac:dyDescent="0.2">
      <c r="A13" s="189" t="s">
        <v>28</v>
      </c>
      <c r="B13" s="146">
        <f>'Eingabemaske Rindvieh'!B12</f>
        <v>0</v>
      </c>
      <c r="C13" s="32">
        <v>1.75</v>
      </c>
      <c r="D13" s="147">
        <f>'Eingabemaske Rindvieh'!C12</f>
        <v>0</v>
      </c>
      <c r="E13" s="494">
        <v>0.875</v>
      </c>
      <c r="F13" s="490">
        <v>6.25</v>
      </c>
      <c r="G13" s="147">
        <f>'Eingabemaske Rindvieh'!D12</f>
        <v>0</v>
      </c>
      <c r="H13" s="31" t="s">
        <v>57</v>
      </c>
      <c r="I13" s="491">
        <v>12.5</v>
      </c>
      <c r="J13" s="148">
        <f>'Eingabemaske Rindvieh'!E12</f>
        <v>0</v>
      </c>
      <c r="K13" s="494">
        <v>0.56000000000000005</v>
      </c>
      <c r="L13" s="495">
        <v>8.3000000000000007</v>
      </c>
      <c r="M13" s="147">
        <f>'Eingabemaske Rindvieh'!F12</f>
        <v>0</v>
      </c>
      <c r="N13" s="25">
        <v>0.28333333333333333</v>
      </c>
      <c r="O13" s="496">
        <v>10</v>
      </c>
      <c r="P13" s="45">
        <f t="shared" si="2"/>
        <v>12</v>
      </c>
      <c r="Q13" s="59">
        <f t="shared" si="3"/>
        <v>0</v>
      </c>
      <c r="R13" s="44">
        <f t="shared" si="0"/>
        <v>0</v>
      </c>
      <c r="S13" s="62">
        <f t="shared" si="1"/>
        <v>0</v>
      </c>
    </row>
    <row r="14" spans="1:22" ht="12.95" customHeight="1" x14ac:dyDescent="0.2">
      <c r="A14" s="189" t="s">
        <v>29</v>
      </c>
      <c r="B14" s="146">
        <f>'Eingabemaske Rindvieh'!B13</f>
        <v>0</v>
      </c>
      <c r="C14" s="32">
        <v>0.77</v>
      </c>
      <c r="D14" s="147">
        <f>'Eingabemaske Rindvieh'!C13</f>
        <v>0</v>
      </c>
      <c r="E14" s="494">
        <v>0.38500000000000001</v>
      </c>
      <c r="F14" s="490">
        <v>2.59</v>
      </c>
      <c r="G14" s="147">
        <f>'Eingabemaske Rindvieh'!D13</f>
        <v>0</v>
      </c>
      <c r="H14" s="31" t="s">
        <v>57</v>
      </c>
      <c r="I14" s="491">
        <v>5.18</v>
      </c>
      <c r="J14" s="148">
        <f>'Eingabemaske Rindvieh'!E13</f>
        <v>0</v>
      </c>
      <c r="K14" s="494">
        <v>0.2</v>
      </c>
      <c r="L14" s="495">
        <v>3.7</v>
      </c>
      <c r="M14" s="147">
        <f>'Eingabemaske Rindvieh'!F13</f>
        <v>0</v>
      </c>
      <c r="N14" s="25">
        <v>0.1</v>
      </c>
      <c r="O14" s="496">
        <v>4.4416666666666664</v>
      </c>
      <c r="P14" s="45">
        <f t="shared" si="2"/>
        <v>12</v>
      </c>
      <c r="Q14" s="59">
        <f t="shared" si="3"/>
        <v>0</v>
      </c>
      <c r="R14" s="44">
        <f t="shared" si="0"/>
        <v>0</v>
      </c>
      <c r="S14" s="62">
        <f t="shared" si="1"/>
        <v>0</v>
      </c>
    </row>
    <row r="15" spans="1:22" ht="12.95" customHeight="1" x14ac:dyDescent="0.2">
      <c r="A15" s="190" t="s">
        <v>30</v>
      </c>
      <c r="B15" s="146">
        <f>'Eingabemaske Rindvieh'!B14</f>
        <v>0</v>
      </c>
      <c r="C15" s="32">
        <v>0.25</v>
      </c>
      <c r="D15" s="147">
        <f>'Eingabemaske Rindvieh'!C14</f>
        <v>0</v>
      </c>
      <c r="E15" s="494">
        <v>0.125</v>
      </c>
      <c r="F15" s="490">
        <v>0.79</v>
      </c>
      <c r="G15" s="147">
        <f>'Eingabemaske Rindvieh'!D14</f>
        <v>0</v>
      </c>
      <c r="H15" s="31" t="s">
        <v>57</v>
      </c>
      <c r="I15" s="491">
        <v>1.58</v>
      </c>
      <c r="J15" s="148">
        <f>'Eingabemaske Rindvieh'!E14</f>
        <v>0</v>
      </c>
      <c r="K15" s="494">
        <v>0.03</v>
      </c>
      <c r="L15" s="495">
        <v>1</v>
      </c>
      <c r="M15" s="147">
        <f>'Eingabemaske Rindvieh'!F14</f>
        <v>0</v>
      </c>
      <c r="N15" s="25">
        <v>0</v>
      </c>
      <c r="O15" s="496">
        <v>1.25</v>
      </c>
      <c r="P15" s="45">
        <f t="shared" si="2"/>
        <v>12</v>
      </c>
      <c r="Q15" s="59">
        <f t="shared" si="3"/>
        <v>0</v>
      </c>
      <c r="R15" s="44">
        <f t="shared" si="0"/>
        <v>0</v>
      </c>
      <c r="S15" s="62">
        <f t="shared" si="1"/>
        <v>0</v>
      </c>
    </row>
    <row r="16" spans="1:22" ht="12.95" customHeight="1" x14ac:dyDescent="0.2">
      <c r="A16" s="191" t="s">
        <v>31</v>
      </c>
      <c r="B16" s="146">
        <f>'Eingabemaske Rindvieh'!B15</f>
        <v>0</v>
      </c>
      <c r="C16" s="32">
        <v>0.56000000000000005</v>
      </c>
      <c r="D16" s="147">
        <f>'Eingabemaske Rindvieh'!C15</f>
        <v>0</v>
      </c>
      <c r="E16" s="494">
        <v>0.28000000000000003</v>
      </c>
      <c r="F16" s="490">
        <v>1.385</v>
      </c>
      <c r="G16" s="147">
        <f>'Eingabemaske Rindvieh'!D15</f>
        <v>0</v>
      </c>
      <c r="H16" s="31" t="s">
        <v>57</v>
      </c>
      <c r="I16" s="491">
        <v>2.77</v>
      </c>
      <c r="J16" s="148">
        <f>'Eingabemaske Rindvieh'!E15</f>
        <v>0</v>
      </c>
      <c r="K16" s="494">
        <v>0.19</v>
      </c>
      <c r="L16" s="495">
        <v>1.94</v>
      </c>
      <c r="M16" s="147">
        <f>'Eingabemaske Rindvieh'!F15</f>
        <v>0</v>
      </c>
      <c r="N16" s="25">
        <v>0.1</v>
      </c>
      <c r="O16" s="496">
        <v>2.2250000000000001</v>
      </c>
      <c r="P16" s="45">
        <f t="shared" si="2"/>
        <v>12</v>
      </c>
      <c r="Q16" s="59">
        <f t="shared" si="3"/>
        <v>0</v>
      </c>
      <c r="R16" s="44">
        <f t="shared" si="0"/>
        <v>0</v>
      </c>
      <c r="S16" s="62">
        <f t="shared" si="1"/>
        <v>0</v>
      </c>
    </row>
    <row r="17" spans="1:19" ht="12.95" customHeight="1" x14ac:dyDescent="0.2">
      <c r="A17" s="191" t="s">
        <v>32</v>
      </c>
      <c r="B17" s="146">
        <f>'Eingabemaske Rindvieh'!B16</f>
        <v>0</v>
      </c>
      <c r="C17" s="32">
        <v>0.61</v>
      </c>
      <c r="D17" s="147">
        <f>'Eingabemaske Rindvieh'!C16</f>
        <v>0</v>
      </c>
      <c r="E17" s="494">
        <v>0.30499999999999999</v>
      </c>
      <c r="F17" s="490">
        <v>1.7849999999999999</v>
      </c>
      <c r="G17" s="147">
        <f>'Eingabemaske Rindvieh'!D16</f>
        <v>0</v>
      </c>
      <c r="H17" s="31" t="s">
        <v>57</v>
      </c>
      <c r="I17" s="491">
        <v>3.57</v>
      </c>
      <c r="J17" s="148">
        <f>'Eingabemaske Rindvieh'!E16</f>
        <v>0</v>
      </c>
      <c r="K17" s="494">
        <v>0.25</v>
      </c>
      <c r="L17" s="495">
        <v>2.5</v>
      </c>
      <c r="M17" s="147">
        <f>'Eingabemaske Rindvieh'!F16</f>
        <v>0</v>
      </c>
      <c r="N17" s="25">
        <v>0.125</v>
      </c>
      <c r="O17" s="496">
        <v>2.8583333333333329</v>
      </c>
      <c r="P17" s="45">
        <f t="shared" si="2"/>
        <v>12</v>
      </c>
      <c r="Q17" s="59">
        <f t="shared" si="3"/>
        <v>0</v>
      </c>
      <c r="R17" s="44">
        <f t="shared" si="0"/>
        <v>0</v>
      </c>
      <c r="S17" s="62">
        <f t="shared" si="1"/>
        <v>0</v>
      </c>
    </row>
    <row r="18" spans="1:19" ht="12.95" customHeight="1" x14ac:dyDescent="0.2">
      <c r="A18" s="191" t="s">
        <v>33</v>
      </c>
      <c r="B18" s="146">
        <f>'Eingabemaske Rindvieh'!B17</f>
        <v>0</v>
      </c>
      <c r="C18" s="32">
        <v>0.56000000000000005</v>
      </c>
      <c r="D18" s="147">
        <f>'Eingabemaske Rindvieh'!C17</f>
        <v>0</v>
      </c>
      <c r="E18" s="494">
        <v>0.28000000000000003</v>
      </c>
      <c r="F18" s="490">
        <v>1.7849999999999999</v>
      </c>
      <c r="G18" s="147">
        <f>'Eingabemaske Rindvieh'!D17</f>
        <v>0</v>
      </c>
      <c r="H18" s="31" t="s">
        <v>57</v>
      </c>
      <c r="I18" s="491">
        <v>3.57</v>
      </c>
      <c r="J18" s="148">
        <f>'Eingabemaske Rindvieh'!E17</f>
        <v>0</v>
      </c>
      <c r="K18" s="494">
        <v>0.25</v>
      </c>
      <c r="L18" s="495">
        <v>2.5</v>
      </c>
      <c r="M18" s="147">
        <f>'Eingabemaske Rindvieh'!F17</f>
        <v>0</v>
      </c>
      <c r="N18" s="25">
        <v>0.125</v>
      </c>
      <c r="O18" s="496">
        <v>2.8583333333333329</v>
      </c>
      <c r="P18" s="45">
        <f t="shared" si="2"/>
        <v>12</v>
      </c>
      <c r="Q18" s="59">
        <f t="shared" si="3"/>
        <v>0</v>
      </c>
      <c r="R18" s="44">
        <f t="shared" si="0"/>
        <v>0</v>
      </c>
      <c r="S18" s="62">
        <f t="shared" si="1"/>
        <v>0</v>
      </c>
    </row>
    <row r="19" spans="1:19" ht="12.95" customHeight="1" x14ac:dyDescent="0.2">
      <c r="A19" s="191" t="s">
        <v>34</v>
      </c>
      <c r="B19" s="146">
        <f>'Eingabemaske Rindvieh'!B18</f>
        <v>0</v>
      </c>
      <c r="C19" s="32">
        <v>0.64</v>
      </c>
      <c r="D19" s="147">
        <f>'Eingabemaske Rindvieh'!C18</f>
        <v>0</v>
      </c>
      <c r="E19" s="494">
        <v>0.32</v>
      </c>
      <c r="F19" s="490">
        <v>1.605</v>
      </c>
      <c r="G19" s="147">
        <f>'Eingabemaske Rindvieh'!D18</f>
        <v>0</v>
      </c>
      <c r="H19" s="31" t="s">
        <v>57</v>
      </c>
      <c r="I19" s="491">
        <v>3.21</v>
      </c>
      <c r="J19" s="148">
        <f>'Eingabemaske Rindvieh'!E18</f>
        <v>0</v>
      </c>
      <c r="K19" s="494">
        <v>0.25</v>
      </c>
      <c r="L19" s="495">
        <v>2.14</v>
      </c>
      <c r="M19" s="147">
        <f>'Eingabemaske Rindvieh'!F18</f>
        <v>0</v>
      </c>
      <c r="N19" s="25">
        <v>0.125</v>
      </c>
      <c r="O19" s="496">
        <v>2.5</v>
      </c>
      <c r="P19" s="45">
        <f t="shared" si="2"/>
        <v>12</v>
      </c>
      <c r="Q19" s="59">
        <f t="shared" si="3"/>
        <v>0</v>
      </c>
      <c r="R19" s="44">
        <f t="shared" si="0"/>
        <v>0</v>
      </c>
      <c r="S19" s="62">
        <f t="shared" si="1"/>
        <v>0</v>
      </c>
    </row>
    <row r="20" spans="1:19" ht="33.75" customHeight="1" x14ac:dyDescent="0.2">
      <c r="A20" s="96" t="s">
        <v>35</v>
      </c>
      <c r="B20" s="146">
        <f>'Eingabemaske Rindvieh'!B19</f>
        <v>0</v>
      </c>
      <c r="C20" s="32">
        <v>1.33</v>
      </c>
      <c r="D20" s="147">
        <f>'Eingabemaske Rindvieh'!C19</f>
        <v>0</v>
      </c>
      <c r="E20" s="494">
        <v>0.66500000000000004</v>
      </c>
      <c r="F20" s="490">
        <v>4.58</v>
      </c>
      <c r="G20" s="147">
        <f>'Eingabemaske Rindvieh'!D19</f>
        <v>0</v>
      </c>
      <c r="H20" s="31" t="s">
        <v>57</v>
      </c>
      <c r="I20" s="491">
        <v>9.16</v>
      </c>
      <c r="J20" s="148">
        <f>'Eingabemaske Rindvieh'!E19</f>
        <v>0</v>
      </c>
      <c r="K20" s="494">
        <v>0.46</v>
      </c>
      <c r="L20" s="495">
        <v>6.66</v>
      </c>
      <c r="M20" s="147">
        <f>'Eingabemaske Rindvieh'!F19</f>
        <v>0</v>
      </c>
      <c r="N20" s="25">
        <v>0.23333333333333331</v>
      </c>
      <c r="O20" s="496">
        <v>7.5</v>
      </c>
      <c r="P20" s="45">
        <f t="shared" si="2"/>
        <v>12</v>
      </c>
      <c r="Q20" s="59">
        <f t="shared" si="3"/>
        <v>0</v>
      </c>
      <c r="R20" s="44">
        <f t="shared" si="0"/>
        <v>0</v>
      </c>
      <c r="S20" s="62">
        <f t="shared" si="1"/>
        <v>0</v>
      </c>
    </row>
    <row r="21" spans="1:19" ht="33.75" customHeight="1" x14ac:dyDescent="0.2">
      <c r="A21" s="96" t="s">
        <v>36</v>
      </c>
      <c r="B21" s="146"/>
      <c r="C21" s="32">
        <v>1.66</v>
      </c>
      <c r="D21" s="147">
        <f>'Eingabemaske Rindvieh'!C20</f>
        <v>0</v>
      </c>
      <c r="E21" s="494">
        <v>0.83</v>
      </c>
      <c r="F21" s="490">
        <v>4.58</v>
      </c>
      <c r="G21" s="147">
        <v>2</v>
      </c>
      <c r="H21" s="31" t="s">
        <v>57</v>
      </c>
      <c r="I21" s="491">
        <v>9.16</v>
      </c>
      <c r="J21" s="148">
        <f>'Eingabemaske Rindvieh'!E20</f>
        <v>0</v>
      </c>
      <c r="K21" s="494">
        <v>0.5</v>
      </c>
      <c r="L21" s="495">
        <v>6.66</v>
      </c>
      <c r="M21" s="147">
        <f>'Eingabemaske Rindvieh'!F20</f>
        <v>0</v>
      </c>
      <c r="N21" s="25">
        <v>0.25</v>
      </c>
      <c r="O21" s="496">
        <v>7.5</v>
      </c>
      <c r="P21" s="45">
        <f t="shared" si="2"/>
        <v>12</v>
      </c>
      <c r="Q21" s="59">
        <f t="shared" si="3"/>
        <v>0</v>
      </c>
      <c r="R21" s="44">
        <f t="shared" si="0"/>
        <v>0</v>
      </c>
      <c r="S21" s="62">
        <f t="shared" si="1"/>
        <v>0</v>
      </c>
    </row>
    <row r="22" spans="1:19" ht="23.25" customHeight="1" x14ac:dyDescent="0.2">
      <c r="A22" s="96" t="s">
        <v>37</v>
      </c>
      <c r="B22" s="146">
        <f>'Eingabemaske Rindvieh'!B21</f>
        <v>0</v>
      </c>
      <c r="C22" s="32">
        <v>0.46</v>
      </c>
      <c r="D22" s="8"/>
      <c r="E22" s="8"/>
      <c r="F22" s="9"/>
      <c r="G22" s="8"/>
      <c r="H22" s="8"/>
      <c r="I22" s="10"/>
      <c r="J22" s="497"/>
      <c r="K22" s="497"/>
      <c r="L22" s="11"/>
      <c r="M22" s="12"/>
      <c r="N22" s="12"/>
      <c r="O22" s="23"/>
      <c r="P22" s="45">
        <f t="shared" si="2"/>
        <v>12</v>
      </c>
      <c r="Q22" s="59">
        <f t="shared" si="3"/>
        <v>0</v>
      </c>
      <c r="R22" s="44">
        <f>(B22*C22)*$Q$11</f>
        <v>0</v>
      </c>
      <c r="S22" s="62"/>
    </row>
    <row r="23" spans="1:19" ht="23.25" customHeight="1" thickBot="1" x14ac:dyDescent="0.25">
      <c r="A23" s="96" t="s">
        <v>38</v>
      </c>
      <c r="B23" s="146">
        <f>'Eingabemaske Rindvieh'!B22</f>
        <v>0</v>
      </c>
      <c r="C23" s="34">
        <v>0.2</v>
      </c>
      <c r="D23" s="16"/>
      <c r="E23" s="16"/>
      <c r="F23" s="17"/>
      <c r="G23" s="16"/>
      <c r="H23" s="16"/>
      <c r="I23" s="18"/>
      <c r="J23" s="498"/>
      <c r="K23" s="498"/>
      <c r="L23" s="19"/>
      <c r="M23" s="20"/>
      <c r="N23" s="20"/>
      <c r="O23" s="24"/>
      <c r="P23" s="215">
        <f t="shared" si="2"/>
        <v>12</v>
      </c>
      <c r="Q23" s="63">
        <f t="shared" si="3"/>
        <v>0</v>
      </c>
      <c r="R23" s="46">
        <f>(B23*C23)*$Q$11</f>
        <v>0</v>
      </c>
      <c r="S23" s="216"/>
    </row>
    <row r="24" spans="1:19" ht="38.25" customHeight="1" thickBot="1" x14ac:dyDescent="0.25">
      <c r="A24" s="192" t="s">
        <v>58</v>
      </c>
      <c r="B24" s="149">
        <v>8.3000000000000007</v>
      </c>
      <c r="C24" s="65"/>
      <c r="D24" s="66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393"/>
      <c r="Q24" s="393"/>
      <c r="R24" s="64">
        <f>B24/1000*30*P11*(SUM(B11:B13,D11:D13,G11:G13,J11:J13,M11:M13))</f>
        <v>0</v>
      </c>
      <c r="S24" s="217"/>
    </row>
    <row r="25" spans="1:19" ht="18" customHeight="1" thickBot="1" x14ac:dyDescent="0.25">
      <c r="A25" s="159" t="s">
        <v>59</v>
      </c>
      <c r="B25" s="160"/>
      <c r="C25" s="160"/>
      <c r="D25" s="47"/>
      <c r="E25" s="47"/>
      <c r="F25" s="47"/>
      <c r="G25" s="47"/>
      <c r="H25" s="47"/>
      <c r="I25" s="47"/>
      <c r="J25" s="47"/>
      <c r="K25" s="47"/>
      <c r="L25" s="66"/>
      <c r="M25" s="66"/>
      <c r="N25" s="67"/>
      <c r="O25" s="67"/>
      <c r="P25" s="67"/>
      <c r="Q25" s="68"/>
      <c r="R25" s="499">
        <f>SUM(R11:R24)</f>
        <v>0</v>
      </c>
      <c r="S25" s="499">
        <f>SUM(S11:S24)</f>
        <v>0</v>
      </c>
    </row>
    <row r="26" spans="1:19" ht="15.75" customHeight="1" x14ac:dyDescent="0.2">
      <c r="A26" s="38" t="s">
        <v>60</v>
      </c>
    </row>
    <row r="27" spans="1:19" ht="12" customHeight="1" x14ac:dyDescent="0.2">
      <c r="A27" s="38" t="s">
        <v>61</v>
      </c>
      <c r="B27" s="401"/>
      <c r="C27" s="401"/>
      <c r="D27" s="402"/>
      <c r="E27" s="402"/>
      <c r="F27" s="402"/>
      <c r="G27" s="402"/>
      <c r="I27" s="402"/>
      <c r="J27" s="403"/>
      <c r="K27" s="403"/>
      <c r="L27" s="404"/>
      <c r="M27" s="403"/>
      <c r="N27" s="403"/>
      <c r="O27" s="404"/>
      <c r="P27" s="406"/>
      <c r="Q27" s="406"/>
      <c r="R27" s="406"/>
      <c r="S27" s="406"/>
    </row>
    <row r="28" spans="1:19" x14ac:dyDescent="0.2">
      <c r="B28" s="401"/>
      <c r="C28" s="401"/>
      <c r="D28" s="401"/>
      <c r="E28" s="401"/>
      <c r="H28" s="441"/>
      <c r="J28" s="403"/>
      <c r="K28" s="403"/>
      <c r="L28" s="405"/>
      <c r="M28" s="403"/>
      <c r="N28" s="403"/>
      <c r="O28" s="405"/>
      <c r="P28" s="406"/>
      <c r="Q28" s="406"/>
      <c r="R28" s="406"/>
      <c r="S28" s="406"/>
    </row>
    <row r="29" spans="1:19" x14ac:dyDescent="0.2">
      <c r="A29" s="445"/>
      <c r="B29" s="441"/>
      <c r="C29" s="441"/>
      <c r="D29" s="441"/>
      <c r="E29" s="441"/>
      <c r="F29" s="441"/>
      <c r="G29" s="441"/>
      <c r="H29" s="441"/>
      <c r="I29" s="441"/>
      <c r="J29" s="412"/>
      <c r="K29" s="412"/>
      <c r="L29" s="439"/>
      <c r="M29" s="412"/>
      <c r="N29" s="412"/>
      <c r="O29" s="439"/>
    </row>
    <row r="30" spans="1:19" x14ac:dyDescent="0.2">
      <c r="A30" s="445"/>
      <c r="B30" s="441"/>
      <c r="C30" s="441"/>
      <c r="D30" s="433"/>
      <c r="E30" s="433"/>
      <c r="F30" s="433"/>
      <c r="G30" s="433"/>
      <c r="H30" s="433"/>
      <c r="I30" s="433"/>
      <c r="J30" s="412"/>
      <c r="K30" s="412"/>
      <c r="L30" s="439"/>
      <c r="M30" s="412"/>
      <c r="N30" s="412"/>
      <c r="O30" s="439"/>
    </row>
    <row r="31" spans="1:19" x14ac:dyDescent="0.2">
      <c r="A31" s="445"/>
      <c r="B31" s="441"/>
      <c r="C31" s="441"/>
      <c r="D31" s="433"/>
      <c r="E31" s="433"/>
      <c r="F31" s="433"/>
      <c r="G31" s="433"/>
      <c r="H31" s="433"/>
      <c r="I31" s="433"/>
      <c r="J31" s="434"/>
      <c r="K31" s="434"/>
      <c r="L31" s="439"/>
      <c r="M31" s="434"/>
      <c r="N31" s="434"/>
      <c r="O31" s="439"/>
    </row>
    <row r="32" spans="1:19" x14ac:dyDescent="0.2">
      <c r="A32" s="445"/>
      <c r="B32" s="441"/>
      <c r="C32" s="441"/>
      <c r="D32" s="433"/>
      <c r="E32" s="433"/>
      <c r="F32" s="433"/>
      <c r="G32" s="433"/>
      <c r="H32" s="433"/>
      <c r="I32" s="433"/>
      <c r="J32" s="434"/>
      <c r="K32" s="434"/>
      <c r="L32" s="439"/>
      <c r="M32" s="434"/>
      <c r="N32" s="434"/>
      <c r="O32" s="439"/>
    </row>
    <row r="33" spans="1:15" x14ac:dyDescent="0.2">
      <c r="A33" s="445"/>
      <c r="B33" s="441"/>
      <c r="C33" s="441"/>
      <c r="D33" s="433"/>
      <c r="E33" s="433"/>
      <c r="F33" s="433"/>
      <c r="G33" s="433"/>
      <c r="H33" s="433"/>
      <c r="I33" s="433"/>
      <c r="J33" s="434"/>
      <c r="K33" s="434"/>
      <c r="L33" s="405"/>
      <c r="M33" s="434"/>
      <c r="N33" s="434"/>
      <c r="O33" s="405"/>
    </row>
    <row r="34" spans="1:15" x14ac:dyDescent="0.2">
      <c r="A34" s="445"/>
      <c r="B34" s="426"/>
      <c r="C34" s="426"/>
      <c r="D34" s="426"/>
      <c r="E34" s="426"/>
      <c r="F34" s="426"/>
      <c r="G34" s="426"/>
      <c r="H34" s="426"/>
      <c r="I34" s="426"/>
      <c r="J34" s="434"/>
      <c r="K34" s="434"/>
      <c r="L34" s="405"/>
      <c r="M34" s="434"/>
      <c r="N34" s="434"/>
      <c r="O34" s="405"/>
    </row>
    <row r="35" spans="1:15" x14ac:dyDescent="0.2">
      <c r="A35" s="445"/>
      <c r="B35" s="441"/>
      <c r="C35" s="441"/>
      <c r="D35" s="433"/>
      <c r="E35" s="433"/>
      <c r="F35" s="433"/>
      <c r="G35" s="433"/>
      <c r="H35" s="433"/>
      <c r="I35" s="433"/>
      <c r="J35" s="423"/>
      <c r="K35" s="423"/>
      <c r="L35" s="435"/>
      <c r="M35" s="423"/>
      <c r="N35" s="423"/>
      <c r="O35" s="435"/>
    </row>
    <row r="36" spans="1:15" x14ac:dyDescent="0.2">
      <c r="A36" s="445"/>
      <c r="B36" s="441"/>
      <c r="C36" s="441"/>
      <c r="D36" s="433"/>
      <c r="E36" s="433"/>
      <c r="F36" s="433"/>
      <c r="G36" s="433"/>
      <c r="H36" s="433"/>
      <c r="I36" s="433"/>
      <c r="J36" s="423"/>
      <c r="K36" s="423"/>
      <c r="L36" s="435"/>
      <c r="M36" s="423"/>
      <c r="N36" s="423"/>
      <c r="O36" s="435"/>
    </row>
    <row r="37" spans="1:15" x14ac:dyDescent="0.2">
      <c r="A37" s="445"/>
      <c r="B37" s="441"/>
      <c r="C37" s="441"/>
      <c r="D37" s="433"/>
      <c r="E37" s="433"/>
      <c r="F37" s="433"/>
      <c r="G37" s="433"/>
      <c r="H37" s="433"/>
      <c r="I37" s="433"/>
      <c r="J37" s="423"/>
      <c r="K37" s="423"/>
      <c r="L37" s="435"/>
      <c r="M37" s="423"/>
      <c r="N37" s="423"/>
      <c r="O37" s="435"/>
    </row>
    <row r="38" spans="1:15" x14ac:dyDescent="0.2">
      <c r="A38" s="445"/>
      <c r="B38" s="441"/>
      <c r="C38" s="441"/>
      <c r="D38" s="433"/>
      <c r="E38" s="433"/>
      <c r="F38" s="433"/>
      <c r="G38" s="433"/>
      <c r="H38" s="433"/>
      <c r="I38" s="433"/>
      <c r="J38" s="423"/>
      <c r="K38" s="423"/>
      <c r="L38" s="435"/>
      <c r="M38" s="423"/>
      <c r="N38" s="423"/>
      <c r="O38" s="435"/>
    </row>
    <row r="39" spans="1:15" x14ac:dyDescent="0.2">
      <c r="A39" s="445"/>
      <c r="B39" s="441"/>
      <c r="C39" s="441"/>
      <c r="D39" s="433"/>
      <c r="E39" s="433"/>
      <c r="F39" s="433"/>
      <c r="G39" s="433"/>
      <c r="H39" s="433"/>
      <c r="I39" s="433"/>
      <c r="J39" s="423"/>
      <c r="K39" s="423"/>
      <c r="L39" s="435"/>
      <c r="M39" s="423"/>
      <c r="N39" s="423"/>
      <c r="O39" s="435"/>
    </row>
    <row r="40" spans="1:15" x14ac:dyDescent="0.2">
      <c r="A40" s="445"/>
      <c r="B40" s="441"/>
      <c r="C40" s="441"/>
      <c r="D40" s="433"/>
      <c r="E40" s="433"/>
      <c r="F40" s="433"/>
      <c r="G40" s="433"/>
      <c r="H40" s="433"/>
      <c r="I40" s="433"/>
      <c r="J40" s="423"/>
      <c r="K40" s="423"/>
      <c r="L40" s="435"/>
      <c r="M40" s="423"/>
      <c r="N40" s="423"/>
      <c r="O40" s="435"/>
    </row>
    <row r="41" spans="1:15" x14ac:dyDescent="0.2">
      <c r="A41" s="445"/>
      <c r="B41" s="441"/>
      <c r="C41" s="441"/>
      <c r="D41" s="433"/>
      <c r="E41" s="433"/>
      <c r="F41" s="433"/>
      <c r="G41" s="433"/>
      <c r="H41" s="433"/>
      <c r="I41" s="433"/>
      <c r="J41" s="423"/>
      <c r="K41" s="423"/>
      <c r="L41" s="435"/>
      <c r="M41" s="423"/>
      <c r="N41" s="423"/>
      <c r="O41" s="435"/>
    </row>
    <row r="42" spans="1:15" x14ac:dyDescent="0.2">
      <c r="A42" s="445"/>
      <c r="B42" s="441"/>
      <c r="C42" s="441"/>
      <c r="D42" s="433"/>
      <c r="E42" s="433"/>
      <c r="F42" s="433"/>
      <c r="G42" s="433"/>
      <c r="H42" s="433"/>
      <c r="I42" s="433"/>
      <c r="J42" s="423"/>
      <c r="K42" s="423"/>
      <c r="L42" s="435"/>
      <c r="M42" s="423"/>
      <c r="N42" s="423"/>
      <c r="O42" s="435"/>
    </row>
    <row r="43" spans="1:15" x14ac:dyDescent="0.2">
      <c r="A43" s="445"/>
      <c r="B43" s="441"/>
      <c r="C43" s="441"/>
      <c r="D43" s="433"/>
      <c r="E43" s="433"/>
      <c r="F43" s="433"/>
      <c r="G43" s="433"/>
      <c r="H43" s="433"/>
      <c r="I43" s="433"/>
      <c r="J43" s="423"/>
      <c r="K43" s="423"/>
      <c r="L43" s="435"/>
      <c r="M43" s="423"/>
      <c r="N43" s="423"/>
      <c r="O43" s="435"/>
    </row>
    <row r="44" spans="1:15" x14ac:dyDescent="0.2">
      <c r="A44" s="445"/>
      <c r="B44" s="441"/>
      <c r="C44" s="441"/>
      <c r="D44" s="433"/>
      <c r="E44" s="433"/>
      <c r="F44" s="433"/>
      <c r="G44" s="433"/>
      <c r="H44" s="433"/>
      <c r="I44" s="433"/>
      <c r="J44" s="423"/>
      <c r="K44" s="423"/>
      <c r="L44" s="435"/>
      <c r="M44" s="423"/>
      <c r="N44" s="423"/>
      <c r="O44" s="435"/>
    </row>
    <row r="45" spans="1:15" x14ac:dyDescent="0.2">
      <c r="A45" s="445"/>
      <c r="B45" s="441"/>
      <c r="C45" s="441"/>
      <c r="D45" s="433"/>
      <c r="E45" s="433"/>
      <c r="F45" s="433"/>
      <c r="G45" s="433"/>
      <c r="H45" s="433"/>
      <c r="I45" s="433"/>
      <c r="J45" s="423"/>
      <c r="K45" s="423"/>
      <c r="L45" s="435"/>
      <c r="M45" s="423"/>
      <c r="N45" s="423"/>
      <c r="O45" s="435"/>
    </row>
    <row r="46" spans="1:15" x14ac:dyDescent="0.2">
      <c r="A46" s="445"/>
      <c r="B46" s="441"/>
      <c r="C46" s="441"/>
      <c r="D46" s="433"/>
      <c r="E46" s="433"/>
      <c r="F46" s="433"/>
      <c r="G46" s="433"/>
      <c r="H46" s="433"/>
      <c r="I46" s="433"/>
      <c r="J46" s="423"/>
      <c r="K46" s="423"/>
      <c r="L46" s="435"/>
      <c r="M46" s="423"/>
      <c r="N46" s="423"/>
      <c r="O46" s="435"/>
    </row>
    <row r="47" spans="1:15" x14ac:dyDescent="0.2">
      <c r="A47" s="445"/>
      <c r="B47" s="441"/>
      <c r="C47" s="441"/>
      <c r="D47" s="433"/>
      <c r="E47" s="433"/>
      <c r="F47" s="433"/>
      <c r="G47" s="433"/>
      <c r="H47" s="433"/>
      <c r="I47" s="433"/>
      <c r="J47" s="423"/>
      <c r="K47" s="423"/>
      <c r="L47" s="435"/>
      <c r="M47" s="423"/>
      <c r="N47" s="423"/>
      <c r="O47" s="435"/>
    </row>
    <row r="48" spans="1:15" x14ac:dyDescent="0.2">
      <c r="A48" s="445"/>
      <c r="B48" s="441"/>
      <c r="C48" s="441"/>
      <c r="D48" s="433"/>
      <c r="E48" s="433"/>
      <c r="F48" s="433"/>
      <c r="G48" s="433"/>
      <c r="H48" s="433"/>
      <c r="I48" s="433"/>
      <c r="J48" s="423"/>
      <c r="K48" s="423"/>
      <c r="L48" s="435"/>
      <c r="M48" s="423"/>
      <c r="N48" s="423"/>
      <c r="O48" s="435"/>
    </row>
    <row r="49" spans="1:15" x14ac:dyDescent="0.2">
      <c r="A49" s="445"/>
      <c r="B49" s="441"/>
      <c r="C49" s="441"/>
      <c r="D49" s="433"/>
      <c r="E49" s="433"/>
      <c r="F49" s="433"/>
      <c r="G49" s="433"/>
      <c r="H49" s="433"/>
      <c r="I49" s="433"/>
      <c r="J49" s="423"/>
      <c r="K49" s="423"/>
      <c r="L49" s="435"/>
      <c r="M49" s="423"/>
      <c r="N49" s="423"/>
      <c r="O49" s="435"/>
    </row>
    <row r="50" spans="1:15" x14ac:dyDescent="0.2">
      <c r="A50" s="445"/>
      <c r="B50" s="441"/>
      <c r="C50" s="441"/>
      <c r="D50" s="433"/>
      <c r="E50" s="433"/>
      <c r="F50" s="433"/>
      <c r="G50" s="433"/>
      <c r="H50" s="433"/>
      <c r="I50" s="433"/>
      <c r="J50" s="423"/>
      <c r="K50" s="423"/>
      <c r="L50" s="435"/>
      <c r="M50" s="423"/>
      <c r="N50" s="423"/>
      <c r="O50" s="435"/>
    </row>
    <row r="51" spans="1:15" x14ac:dyDescent="0.2">
      <c r="A51" s="445"/>
      <c r="B51" s="441"/>
      <c r="C51" s="441"/>
      <c r="D51" s="433"/>
      <c r="E51" s="433"/>
      <c r="F51" s="433"/>
      <c r="G51" s="433"/>
      <c r="H51" s="433"/>
      <c r="I51" s="433"/>
      <c r="J51" s="423"/>
      <c r="K51" s="423"/>
      <c r="L51" s="435"/>
      <c r="M51" s="423"/>
      <c r="N51" s="423"/>
      <c r="O51" s="435"/>
    </row>
    <row r="52" spans="1:15" x14ac:dyDescent="0.2">
      <c r="A52" s="445"/>
      <c r="B52" s="441"/>
      <c r="C52" s="441"/>
      <c r="D52" s="433"/>
      <c r="E52" s="433"/>
      <c r="F52" s="433"/>
      <c r="G52" s="433"/>
      <c r="H52" s="433"/>
      <c r="I52" s="433"/>
      <c r="J52" s="423"/>
      <c r="K52" s="423"/>
      <c r="L52" s="435"/>
      <c r="M52" s="423"/>
      <c r="N52" s="423"/>
      <c r="O52" s="435"/>
    </row>
    <row r="53" spans="1:15" x14ac:dyDescent="0.2">
      <c r="A53" s="445"/>
      <c r="B53" s="441"/>
      <c r="C53" s="441"/>
      <c r="D53" s="433"/>
      <c r="E53" s="433"/>
      <c r="F53" s="433"/>
      <c r="G53" s="433"/>
      <c r="H53" s="433"/>
      <c r="I53" s="433"/>
      <c r="J53" s="423"/>
      <c r="K53" s="423"/>
      <c r="L53" s="435"/>
      <c r="M53" s="423"/>
      <c r="N53" s="423"/>
      <c r="O53" s="435"/>
    </row>
    <row r="54" spans="1:15" x14ac:dyDescent="0.2">
      <c r="A54" s="445"/>
      <c r="B54" s="441"/>
      <c r="C54" s="441"/>
      <c r="D54" s="441"/>
      <c r="E54" s="441"/>
      <c r="F54" s="441"/>
      <c r="G54" s="441"/>
      <c r="H54" s="441"/>
      <c r="I54" s="441"/>
      <c r="J54" s="423"/>
      <c r="K54" s="423"/>
      <c r="L54" s="435"/>
      <c r="M54" s="423"/>
      <c r="N54" s="423"/>
      <c r="O54" s="435"/>
    </row>
    <row r="55" spans="1:15" x14ac:dyDescent="0.2">
      <c r="A55" s="445"/>
      <c r="B55" s="433"/>
      <c r="C55" s="433"/>
      <c r="D55" s="433"/>
      <c r="E55" s="433"/>
      <c r="F55" s="433"/>
      <c r="G55" s="433"/>
      <c r="H55" s="433"/>
      <c r="I55" s="433"/>
      <c r="J55" s="423"/>
      <c r="K55" s="423"/>
      <c r="L55" s="435"/>
      <c r="M55" s="423"/>
      <c r="N55" s="423"/>
      <c r="O55" s="435"/>
    </row>
    <row r="56" spans="1:15" x14ac:dyDescent="0.2">
      <c r="A56" s="445"/>
      <c r="B56" s="433"/>
      <c r="C56" s="433"/>
      <c r="D56" s="426"/>
      <c r="E56" s="426"/>
      <c r="F56" s="426"/>
      <c r="G56" s="426"/>
      <c r="H56" s="426"/>
      <c r="I56" s="426"/>
      <c r="J56" s="423"/>
      <c r="K56" s="423"/>
      <c r="L56" s="435"/>
      <c r="M56" s="423"/>
      <c r="N56" s="423"/>
      <c r="O56" s="435"/>
    </row>
    <row r="57" spans="1:15" x14ac:dyDescent="0.2">
      <c r="A57" s="445"/>
      <c r="B57" s="441"/>
      <c r="C57" s="441"/>
      <c r="D57" s="433"/>
      <c r="E57" s="433"/>
      <c r="F57" s="433"/>
      <c r="G57" s="433"/>
      <c r="H57" s="433"/>
      <c r="I57" s="433"/>
      <c r="J57" s="427"/>
      <c r="K57" s="427"/>
      <c r="L57" s="435"/>
      <c r="M57" s="427"/>
      <c r="N57" s="427"/>
      <c r="O57" s="435"/>
    </row>
    <row r="58" spans="1:15" x14ac:dyDescent="0.2">
      <c r="A58" s="445"/>
      <c r="B58" s="441"/>
      <c r="C58" s="441"/>
      <c r="D58" s="441"/>
      <c r="E58" s="441"/>
      <c r="F58" s="441"/>
      <c r="G58" s="441"/>
      <c r="H58" s="441"/>
      <c r="I58" s="441"/>
      <c r="J58" s="428"/>
      <c r="K58" s="428"/>
      <c r="L58" s="435"/>
      <c r="M58" s="428"/>
      <c r="N58" s="428"/>
      <c r="O58" s="435"/>
    </row>
    <row r="59" spans="1:15" x14ac:dyDescent="0.2">
      <c r="A59" s="445"/>
      <c r="B59" s="441"/>
      <c r="C59" s="441"/>
      <c r="D59" s="441"/>
      <c r="E59" s="441"/>
      <c r="F59" s="441"/>
      <c r="G59" s="441"/>
      <c r="H59" s="441"/>
      <c r="I59" s="441"/>
      <c r="J59" s="423"/>
      <c r="K59" s="423"/>
      <c r="L59" s="435"/>
      <c r="M59" s="423"/>
      <c r="N59" s="423"/>
      <c r="O59" s="435"/>
    </row>
    <row r="60" spans="1:15" x14ac:dyDescent="0.2">
      <c r="A60" s="445"/>
      <c r="B60" s="441"/>
      <c r="C60" s="441"/>
      <c r="D60" s="429"/>
      <c r="E60" s="429"/>
      <c r="F60" s="429"/>
      <c r="G60" s="429"/>
      <c r="H60" s="429"/>
      <c r="I60" s="429"/>
      <c r="J60" s="430"/>
      <c r="K60" s="430"/>
      <c r="L60" s="435"/>
      <c r="M60" s="430"/>
      <c r="N60" s="430"/>
      <c r="O60" s="435"/>
    </row>
    <row r="61" spans="1:15" x14ac:dyDescent="0.2">
      <c r="A61" s="445"/>
      <c r="B61" s="429"/>
      <c r="C61" s="429"/>
      <c r="J61" s="431"/>
      <c r="K61" s="431"/>
      <c r="L61" s="435"/>
      <c r="M61" s="431"/>
      <c r="N61" s="431"/>
      <c r="O61" s="435"/>
    </row>
    <row r="62" spans="1:15" x14ac:dyDescent="0.2">
      <c r="A62" s="445"/>
      <c r="B62" s="441"/>
      <c r="C62" s="441"/>
      <c r="D62" s="433"/>
      <c r="E62" s="433"/>
      <c r="F62" s="433"/>
      <c r="G62" s="433"/>
      <c r="H62" s="433"/>
      <c r="I62" s="433"/>
      <c r="J62" s="423"/>
      <c r="K62" s="423"/>
      <c r="L62" s="435"/>
      <c r="M62" s="423"/>
      <c r="N62" s="423"/>
      <c r="O62" s="435"/>
    </row>
    <row r="63" spans="1:15" x14ac:dyDescent="0.2">
      <c r="A63" s="440"/>
      <c r="B63" s="441"/>
      <c r="C63" s="441"/>
      <c r="D63" s="441"/>
      <c r="E63" s="441"/>
      <c r="F63" s="441"/>
      <c r="G63" s="441"/>
      <c r="H63" s="441"/>
      <c r="I63" s="441"/>
      <c r="J63" s="432"/>
      <c r="K63" s="432"/>
      <c r="L63" s="435"/>
      <c r="M63" s="432"/>
      <c r="N63" s="432"/>
      <c r="O63" s="435"/>
    </row>
    <row r="64" spans="1:15" x14ac:dyDescent="0.2">
      <c r="A64" s="445"/>
      <c r="B64" s="441"/>
      <c r="C64" s="441"/>
      <c r="D64" s="433"/>
      <c r="E64" s="433"/>
      <c r="F64" s="433"/>
      <c r="G64" s="433"/>
      <c r="H64" s="433"/>
      <c r="I64" s="433"/>
      <c r="J64" s="434"/>
      <c r="K64" s="434"/>
      <c r="L64" s="435"/>
      <c r="M64" s="434"/>
      <c r="N64" s="434"/>
      <c r="O64" s="435"/>
    </row>
    <row r="65" spans="1:15" x14ac:dyDescent="0.2">
      <c r="A65" s="442"/>
      <c r="B65" s="441"/>
      <c r="C65" s="441"/>
      <c r="D65" s="433"/>
      <c r="E65" s="433"/>
      <c r="F65" s="433"/>
      <c r="G65" s="433"/>
      <c r="H65" s="433"/>
      <c r="I65" s="433"/>
      <c r="J65" s="434"/>
      <c r="K65" s="434"/>
      <c r="L65" s="435"/>
      <c r="M65" s="434"/>
      <c r="N65" s="434"/>
      <c r="O65" s="435"/>
    </row>
    <row r="66" spans="1:15" x14ac:dyDescent="0.2">
      <c r="A66" s="442"/>
      <c r="B66" s="441"/>
      <c r="C66" s="441"/>
      <c r="D66" s="433"/>
      <c r="E66" s="433"/>
      <c r="F66" s="433"/>
      <c r="G66" s="433"/>
      <c r="H66" s="433"/>
      <c r="I66" s="433"/>
      <c r="J66" s="434"/>
      <c r="K66" s="434"/>
      <c r="L66" s="435"/>
      <c r="M66" s="434"/>
      <c r="N66" s="434"/>
      <c r="O66" s="435"/>
    </row>
    <row r="67" spans="1:15" x14ac:dyDescent="0.2">
      <c r="A67" s="442"/>
      <c r="B67" s="441"/>
      <c r="C67" s="441"/>
      <c r="D67" s="433"/>
      <c r="E67" s="433"/>
      <c r="F67" s="433"/>
      <c r="G67" s="433"/>
      <c r="H67" s="433"/>
      <c r="I67" s="433"/>
      <c r="J67" s="434"/>
      <c r="K67" s="434"/>
      <c r="L67" s="435"/>
      <c r="M67" s="434"/>
      <c r="N67" s="434"/>
      <c r="O67" s="435"/>
    </row>
    <row r="68" spans="1:15" x14ac:dyDescent="0.2">
      <c r="A68" s="442"/>
      <c r="B68" s="441"/>
      <c r="C68" s="441"/>
      <c r="D68" s="433"/>
      <c r="E68" s="433"/>
      <c r="F68" s="433"/>
      <c r="G68" s="433"/>
      <c r="H68" s="433"/>
      <c r="I68" s="433"/>
      <c r="J68" s="434"/>
      <c r="K68" s="434"/>
      <c r="L68" s="436"/>
      <c r="M68" s="434"/>
      <c r="N68" s="434"/>
      <c r="O68" s="436"/>
    </row>
    <row r="69" spans="1:15" x14ac:dyDescent="0.2">
      <c r="A69" s="445"/>
      <c r="B69" s="441"/>
      <c r="C69" s="441"/>
      <c r="D69" s="433"/>
      <c r="E69" s="433"/>
      <c r="F69" s="433"/>
      <c r="G69" s="433"/>
      <c r="H69" s="433"/>
      <c r="I69" s="433"/>
      <c r="J69" s="434"/>
      <c r="K69" s="434"/>
      <c r="L69" s="436"/>
      <c r="M69" s="434"/>
      <c r="N69" s="434"/>
      <c r="O69" s="436"/>
    </row>
    <row r="70" spans="1:15" x14ac:dyDescent="0.2">
      <c r="A70" s="445"/>
      <c r="B70" s="441"/>
      <c r="C70" s="441"/>
      <c r="D70" s="433"/>
      <c r="E70" s="433"/>
      <c r="F70" s="433"/>
      <c r="G70" s="433"/>
      <c r="H70" s="433"/>
      <c r="I70" s="433"/>
      <c r="J70" s="434"/>
      <c r="K70" s="434"/>
      <c r="L70" s="437"/>
      <c r="M70" s="434"/>
      <c r="N70" s="434"/>
      <c r="O70" s="437"/>
    </row>
    <row r="71" spans="1:15" x14ac:dyDescent="0.2">
      <c r="A71" s="446"/>
      <c r="B71" s="447"/>
      <c r="C71" s="447"/>
      <c r="D71" s="438"/>
      <c r="E71" s="438"/>
      <c r="F71" s="438"/>
      <c r="G71" s="438"/>
      <c r="H71" s="438"/>
      <c r="I71" s="438"/>
      <c r="J71" s="439"/>
      <c r="K71" s="439"/>
      <c r="L71" s="439"/>
      <c r="M71" s="439"/>
      <c r="N71" s="439"/>
      <c r="O71" s="439"/>
    </row>
    <row r="72" spans="1:15" x14ac:dyDescent="0.2">
      <c r="A72" s="448"/>
      <c r="B72" s="439"/>
      <c r="C72" s="439"/>
      <c r="D72" s="439"/>
      <c r="E72" s="439"/>
      <c r="F72" s="439"/>
      <c r="G72" s="439"/>
      <c r="H72" s="439"/>
      <c r="I72" s="439"/>
      <c r="J72" s="439"/>
      <c r="K72" s="439"/>
      <c r="L72" s="439"/>
      <c r="M72" s="439"/>
      <c r="N72" s="439"/>
      <c r="O72" s="439"/>
    </row>
    <row r="73" spans="1:15" x14ac:dyDescent="0.2">
      <c r="A73" s="448"/>
      <c r="B73" s="439"/>
      <c r="C73" s="439"/>
      <c r="D73" s="439"/>
      <c r="E73" s="439"/>
      <c r="F73" s="439"/>
      <c r="G73" s="439"/>
      <c r="H73" s="439"/>
      <c r="I73" s="439"/>
      <c r="J73" s="439"/>
      <c r="K73" s="439"/>
      <c r="L73" s="439"/>
      <c r="M73" s="439"/>
      <c r="N73" s="439"/>
      <c r="O73" s="439"/>
    </row>
    <row r="74" spans="1:15" x14ac:dyDescent="0.2">
      <c r="A74" s="448"/>
      <c r="B74" s="439"/>
      <c r="C74" s="439"/>
      <c r="D74" s="439"/>
      <c r="E74" s="439"/>
      <c r="F74" s="439"/>
      <c r="G74" s="439"/>
      <c r="H74" s="439"/>
      <c r="I74" s="439"/>
      <c r="J74" s="439"/>
      <c r="K74" s="439"/>
      <c r="L74" s="439"/>
      <c r="M74" s="439"/>
      <c r="N74" s="439"/>
      <c r="O74" s="439"/>
    </row>
    <row r="75" spans="1:15" x14ac:dyDescent="0.2">
      <c r="A75" s="448"/>
      <c r="B75" s="439"/>
      <c r="C75" s="439"/>
      <c r="D75" s="439"/>
      <c r="E75" s="439"/>
      <c r="F75" s="439"/>
      <c r="G75" s="439"/>
      <c r="H75" s="439"/>
      <c r="I75" s="439"/>
      <c r="J75" s="439"/>
      <c r="K75" s="439"/>
      <c r="L75" s="439"/>
      <c r="M75" s="439"/>
      <c r="N75" s="439"/>
      <c r="O75" s="439"/>
    </row>
    <row r="76" spans="1:15" x14ac:dyDescent="0.2">
      <c r="A76" s="448"/>
      <c r="B76" s="439"/>
      <c r="C76" s="439"/>
      <c r="D76" s="439"/>
      <c r="E76" s="439"/>
      <c r="F76" s="439"/>
      <c r="G76" s="439"/>
      <c r="H76" s="439"/>
      <c r="I76" s="439"/>
      <c r="J76" s="439"/>
      <c r="K76" s="439"/>
      <c r="L76" s="439"/>
      <c r="M76" s="439"/>
      <c r="N76" s="439"/>
      <c r="O76" s="439"/>
    </row>
    <row r="77" spans="1:15" x14ac:dyDescent="0.2">
      <c r="A77" s="448"/>
      <c r="B77" s="439"/>
      <c r="C77" s="439"/>
      <c r="D77" s="439"/>
      <c r="E77" s="439"/>
      <c r="F77" s="439"/>
      <c r="G77" s="439"/>
      <c r="H77" s="439"/>
      <c r="I77" s="439"/>
      <c r="J77" s="439"/>
      <c r="K77" s="439"/>
      <c r="L77" s="439"/>
      <c r="M77" s="439"/>
      <c r="N77" s="439"/>
      <c r="O77" s="439"/>
    </row>
    <row r="78" spans="1:15" x14ac:dyDescent="0.2">
      <c r="A78" s="449"/>
      <c r="B78" s="450"/>
      <c r="C78" s="450"/>
      <c r="D78" s="443"/>
      <c r="E78" s="443"/>
      <c r="F78" s="443"/>
      <c r="G78" s="443"/>
      <c r="H78" s="443"/>
      <c r="I78" s="443"/>
      <c r="J78" s="444"/>
      <c r="K78" s="444"/>
      <c r="L78" s="444"/>
      <c r="M78" s="444"/>
      <c r="N78" s="444"/>
      <c r="O78" s="444"/>
    </row>
    <row r="79" spans="1:15" x14ac:dyDescent="0.2">
      <c r="A79" s="451"/>
      <c r="B79" s="450"/>
      <c r="C79" s="450"/>
      <c r="D79" s="443"/>
      <c r="E79" s="443"/>
      <c r="F79" s="443"/>
      <c r="G79" s="443"/>
      <c r="H79" s="443"/>
      <c r="I79" s="443"/>
      <c r="J79" s="444"/>
      <c r="K79" s="444"/>
      <c r="L79" s="444"/>
      <c r="M79" s="444"/>
      <c r="N79" s="444"/>
      <c r="O79" s="444"/>
    </row>
    <row r="80" spans="1:15" x14ac:dyDescent="0.2">
      <c r="A80" s="451"/>
      <c r="B80" s="450"/>
      <c r="C80" s="450"/>
      <c r="D80" s="443"/>
      <c r="E80" s="443"/>
      <c r="F80" s="443"/>
      <c r="G80" s="443"/>
      <c r="H80" s="443"/>
      <c r="I80" s="443"/>
      <c r="J80" s="444"/>
      <c r="K80" s="444"/>
      <c r="L80" s="444"/>
      <c r="M80" s="444"/>
      <c r="N80" s="444"/>
      <c r="O80" s="444"/>
    </row>
  </sheetData>
  <mergeCells count="19">
    <mergeCell ref="S5:S10"/>
    <mergeCell ref="B6:O6"/>
    <mergeCell ref="M9:O9"/>
    <mergeCell ref="G8:I8"/>
    <mergeCell ref="B5:O5"/>
    <mergeCell ref="R5:R10"/>
    <mergeCell ref="B7:O7"/>
    <mergeCell ref="J9:L9"/>
    <mergeCell ref="D9:F9"/>
    <mergeCell ref="M8:O8"/>
    <mergeCell ref="Q5:Q10"/>
    <mergeCell ref="D8:F8"/>
    <mergeCell ref="B8:C8"/>
    <mergeCell ref="P5:P10"/>
    <mergeCell ref="A4:R4"/>
    <mergeCell ref="G9:I9"/>
    <mergeCell ref="J8:L8"/>
    <mergeCell ref="B9:C9"/>
    <mergeCell ref="A1:G1"/>
  </mergeCells>
  <printOptions horizontalCentered="1"/>
  <pageMargins left="0.19685039370078741" right="0.27559055118110237" top="0.59055118110236227" bottom="0.35433070866141736" header="0.19685039370078741" footer="0"/>
  <pageSetup paperSize="9" scale="69" orientation="landscape" r:id="rId1"/>
  <headerFooter alignWithMargins="0">
    <oddFooter>&amp;R&amp;F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80"/>
  <sheetViews>
    <sheetView showGridLines="0" showRowColHeaders="0" showZeros="0" view="pageLayout" zoomScale="112" zoomScaleNormal="100" zoomScaleSheetLayoutView="132" zoomScalePageLayoutView="112" workbookViewId="0">
      <selection activeCell="C17" sqref="C17"/>
    </sheetView>
  </sheetViews>
  <sheetFormatPr baseColWidth="10" defaultRowHeight="12.75" x14ac:dyDescent="0.2"/>
  <cols>
    <col min="1" max="1" width="16.85546875" style="473" customWidth="1"/>
    <col min="2" max="2" width="7.7109375" style="473" customWidth="1"/>
    <col min="3" max="3" width="4.7109375" style="473" customWidth="1"/>
    <col min="4" max="4" width="7.7109375" style="473" customWidth="1"/>
    <col min="5" max="6" width="4.7109375" style="473" customWidth="1"/>
    <col min="7" max="7" width="7.7109375" style="473" customWidth="1"/>
    <col min="8" max="9" width="4.7109375" style="473" customWidth="1"/>
    <col min="10" max="10" width="7.7109375" style="473" customWidth="1"/>
    <col min="11" max="12" width="4.7109375" style="473" customWidth="1"/>
    <col min="13" max="13" width="7.7109375" style="473" customWidth="1"/>
    <col min="14" max="15" width="4.7109375" style="473" customWidth="1"/>
    <col min="16" max="16" width="5.5703125" style="473" customWidth="1"/>
    <col min="17" max="17" width="4.140625" style="473" customWidth="1"/>
    <col min="18" max="19" width="10.7109375" style="473" customWidth="1"/>
  </cols>
  <sheetData>
    <row r="1" spans="1:26" ht="18" customHeight="1" x14ac:dyDescent="0.25">
      <c r="A1" s="465"/>
      <c r="B1" s="457"/>
      <c r="C1" s="457"/>
      <c r="D1" s="611"/>
      <c r="E1" s="585"/>
      <c r="F1" s="585"/>
      <c r="G1" s="585"/>
      <c r="H1" s="585"/>
      <c r="I1" s="585"/>
      <c r="J1" s="585"/>
      <c r="K1" s="585"/>
      <c r="L1" s="585"/>
      <c r="M1" s="585"/>
    </row>
    <row r="2" spans="1:26" ht="15" customHeight="1" x14ac:dyDescent="0.2">
      <c r="A2" s="466"/>
      <c r="B2" s="397"/>
      <c r="C2" s="397"/>
      <c r="D2" s="612"/>
      <c r="E2" s="612"/>
      <c r="F2" s="612"/>
      <c r="G2" s="612"/>
      <c r="H2" s="612"/>
      <c r="I2" s="612"/>
      <c r="J2" s="612"/>
      <c r="K2" s="612"/>
      <c r="L2" s="612"/>
      <c r="M2" s="612"/>
      <c r="N2" s="458"/>
      <c r="O2" s="458"/>
      <c r="P2" s="458"/>
      <c r="Q2" s="458"/>
      <c r="R2" s="458"/>
      <c r="S2" s="458"/>
    </row>
    <row r="3" spans="1:26" ht="2.25" customHeight="1" x14ac:dyDescent="0.2">
      <c r="A3" s="3"/>
      <c r="B3" s="398"/>
      <c r="C3" s="398"/>
      <c r="D3" s="4"/>
      <c r="E3" s="4"/>
      <c r="F3" s="4"/>
      <c r="G3" s="4"/>
      <c r="H3" s="4"/>
      <c r="I3" s="4"/>
      <c r="J3" s="4"/>
      <c r="K3" s="4"/>
      <c r="M3" s="4"/>
      <c r="N3" s="4"/>
    </row>
    <row r="4" spans="1:26" ht="16.5" customHeight="1" thickBot="1" x14ac:dyDescent="0.3">
      <c r="A4" s="594" t="s">
        <v>62</v>
      </c>
      <c r="B4" s="560"/>
      <c r="C4" s="560"/>
      <c r="D4" s="560"/>
      <c r="E4" s="560"/>
      <c r="F4" s="560"/>
      <c r="G4" s="560"/>
      <c r="H4" s="560"/>
      <c r="I4" s="560"/>
      <c r="J4" s="560"/>
      <c r="K4" s="560"/>
      <c r="L4" s="560"/>
      <c r="M4" s="560"/>
      <c r="N4" s="560"/>
      <c r="O4" s="560"/>
      <c r="P4" s="560"/>
      <c r="Q4" s="560"/>
      <c r="R4" s="560"/>
    </row>
    <row r="5" spans="1:26" ht="12.75" customHeight="1" x14ac:dyDescent="0.2">
      <c r="A5" s="468" t="s">
        <v>1</v>
      </c>
      <c r="B5" s="586">
        <f>Übersicht!B8</f>
        <v>0</v>
      </c>
      <c r="C5" s="560"/>
      <c r="D5" s="560"/>
      <c r="E5" s="560"/>
      <c r="F5" s="560"/>
      <c r="G5" s="560"/>
      <c r="H5" s="560"/>
      <c r="I5" s="560"/>
      <c r="J5" s="560"/>
      <c r="K5" s="560"/>
      <c r="L5" s="560"/>
      <c r="M5" s="560"/>
      <c r="N5" s="560"/>
      <c r="O5" s="560"/>
      <c r="P5" s="609" t="s">
        <v>42</v>
      </c>
      <c r="Q5" s="617" t="s">
        <v>43</v>
      </c>
      <c r="R5" s="617" t="s">
        <v>44</v>
      </c>
      <c r="S5" s="617" t="s">
        <v>45</v>
      </c>
      <c r="T5" s="460"/>
      <c r="U5" s="460"/>
    </row>
    <row r="6" spans="1:26" ht="13.5" customHeight="1" thickBot="1" x14ac:dyDescent="0.25">
      <c r="A6" s="188" t="s">
        <v>2</v>
      </c>
      <c r="B6" s="586" t="str">
        <f>Übersicht!B9</f>
        <v>Betrieb Name, Ort</v>
      </c>
      <c r="C6" s="560"/>
      <c r="D6" s="560"/>
      <c r="E6" s="560"/>
      <c r="F6" s="560"/>
      <c r="G6" s="560"/>
      <c r="H6" s="560"/>
      <c r="I6" s="560"/>
      <c r="J6" s="560"/>
      <c r="K6" s="560"/>
      <c r="L6" s="560"/>
      <c r="M6" s="560"/>
      <c r="N6" s="560"/>
      <c r="O6" s="560"/>
      <c r="P6" s="604"/>
      <c r="Q6" s="604"/>
      <c r="R6" s="604"/>
      <c r="S6" s="604"/>
      <c r="T6" s="460"/>
      <c r="U6" s="460"/>
    </row>
    <row r="7" spans="1:26" ht="13.5" customHeight="1" thickBot="1" x14ac:dyDescent="0.25">
      <c r="A7" s="134"/>
      <c r="B7" s="608" t="s">
        <v>46</v>
      </c>
      <c r="C7" s="589"/>
      <c r="D7" s="589"/>
      <c r="E7" s="589"/>
      <c r="F7" s="589"/>
      <c r="G7" s="589"/>
      <c r="H7" s="589"/>
      <c r="I7" s="589"/>
      <c r="J7" s="589"/>
      <c r="K7" s="589"/>
      <c r="L7" s="589"/>
      <c r="M7" s="589"/>
      <c r="N7" s="589"/>
      <c r="O7" s="589"/>
      <c r="P7" s="604"/>
      <c r="Q7" s="604"/>
      <c r="R7" s="604"/>
      <c r="S7" s="604"/>
    </row>
    <row r="8" spans="1:26" ht="21.75" customHeight="1" x14ac:dyDescent="0.2">
      <c r="A8" s="135"/>
      <c r="B8" s="619" t="s">
        <v>19</v>
      </c>
      <c r="C8" s="600"/>
      <c r="D8" s="614" t="s">
        <v>47</v>
      </c>
      <c r="E8" s="615"/>
      <c r="F8" s="616"/>
      <c r="G8" s="614" t="s">
        <v>21</v>
      </c>
      <c r="H8" s="615"/>
      <c r="I8" s="616"/>
      <c r="J8" s="614" t="s">
        <v>48</v>
      </c>
      <c r="K8" s="615"/>
      <c r="L8" s="616"/>
      <c r="M8" s="614" t="s">
        <v>23</v>
      </c>
      <c r="N8" s="615"/>
      <c r="O8" s="616"/>
      <c r="P8" s="604"/>
      <c r="Q8" s="604"/>
      <c r="R8" s="604"/>
      <c r="S8" s="604"/>
      <c r="X8" s="613"/>
      <c r="Y8" s="560"/>
      <c r="Z8" s="560"/>
    </row>
    <row r="9" spans="1:26" ht="22.5" customHeight="1" x14ac:dyDescent="0.2">
      <c r="A9" s="281"/>
      <c r="B9" s="601"/>
      <c r="C9" s="597"/>
      <c r="D9" s="595" t="s">
        <v>63</v>
      </c>
      <c r="E9" s="596"/>
      <c r="F9" s="597"/>
      <c r="G9" s="595" t="s">
        <v>64</v>
      </c>
      <c r="H9" s="596"/>
      <c r="I9" s="597"/>
      <c r="J9" s="595" t="s">
        <v>65</v>
      </c>
      <c r="K9" s="596"/>
      <c r="L9" s="597"/>
      <c r="M9" s="595" t="s">
        <v>66</v>
      </c>
      <c r="N9" s="596"/>
      <c r="O9" s="597"/>
      <c r="P9" s="604"/>
      <c r="Q9" s="604"/>
      <c r="R9" s="604"/>
      <c r="S9" s="604"/>
      <c r="X9" s="298"/>
      <c r="Y9" s="298"/>
      <c r="Z9" s="298"/>
    </row>
    <row r="10" spans="1:26" ht="59.25" customHeight="1" thickBot="1" x14ac:dyDescent="0.25">
      <c r="A10" s="198" t="s">
        <v>24</v>
      </c>
      <c r="B10" s="276" t="s">
        <v>25</v>
      </c>
      <c r="C10" s="200" t="s">
        <v>53</v>
      </c>
      <c r="D10" s="277" t="s">
        <v>25</v>
      </c>
      <c r="E10" s="278" t="s">
        <v>54</v>
      </c>
      <c r="F10" s="279" t="s">
        <v>55</v>
      </c>
      <c r="G10" s="277" t="s">
        <v>25</v>
      </c>
      <c r="H10" s="278" t="s">
        <v>56</v>
      </c>
      <c r="I10" s="279" t="s">
        <v>55</v>
      </c>
      <c r="J10" s="277" t="s">
        <v>25</v>
      </c>
      <c r="K10" s="278" t="s">
        <v>56</v>
      </c>
      <c r="L10" s="280" t="s">
        <v>55</v>
      </c>
      <c r="M10" s="277" t="s">
        <v>25</v>
      </c>
      <c r="N10" s="278" t="s">
        <v>56</v>
      </c>
      <c r="O10" s="279" t="s">
        <v>55</v>
      </c>
      <c r="P10" s="605"/>
      <c r="Q10" s="604"/>
      <c r="R10" s="604"/>
      <c r="S10" s="604"/>
      <c r="U10" s="298"/>
      <c r="V10" s="298"/>
      <c r="W10" s="298"/>
    </row>
    <row r="11" spans="1:26" ht="12.95" customHeight="1" x14ac:dyDescent="0.2">
      <c r="A11" s="189" t="s">
        <v>26</v>
      </c>
      <c r="B11" s="146">
        <f>'Eingabemaske Rindvieh'!B10</f>
        <v>0</v>
      </c>
      <c r="C11" s="32">
        <v>2</v>
      </c>
      <c r="D11" s="147">
        <f>'Eingabemaske Rindvieh'!C10</f>
        <v>0</v>
      </c>
      <c r="E11" s="494">
        <f>C11/2</f>
        <v>1</v>
      </c>
      <c r="F11" s="490">
        <f t="shared" ref="F11:F21" si="0">I11/2</f>
        <v>10.59585</v>
      </c>
      <c r="G11" s="147">
        <f>'Eingabemaske Rindvieh'!D10</f>
        <v>0</v>
      </c>
      <c r="H11" s="31" t="s">
        <v>57</v>
      </c>
      <c r="I11" s="490">
        <f>(21375/12/100)+(4*0.88*30*0.8/0.25)/100</f>
        <v>21.191700000000001</v>
      </c>
      <c r="J11" s="148">
        <f>'Eingabemaske Rindvieh'!E10</f>
        <v>0</v>
      </c>
      <c r="K11" s="25">
        <f>(9580/12/1000)*1.4</f>
        <v>1.1176666666666666</v>
      </c>
      <c r="L11" s="495">
        <f>9492/12/100+(1.5*0.88*30*0.8/0.25)/100</f>
        <v>9.1772000000000009</v>
      </c>
      <c r="M11" s="147">
        <f>'Eingabemaske Rindvieh'!F10</f>
        <v>0</v>
      </c>
      <c r="N11" s="25">
        <f>8069/12/1000*1.4</f>
        <v>0.94138333333333324</v>
      </c>
      <c r="O11" s="490">
        <f>12687/12/100+(2*0.88*30*0.8/0.25)/100</f>
        <v>12.2621</v>
      </c>
      <c r="P11" s="80">
        <f>Übersicht!C11</f>
        <v>12</v>
      </c>
      <c r="Q11" s="95">
        <f>Übersicht!C12</f>
        <v>0</v>
      </c>
      <c r="R11" s="60">
        <f t="shared" ref="R11:R21" si="1">(B11*C11+D11*E11+J11*K11+M11*N11)*$P$11</f>
        <v>0</v>
      </c>
      <c r="S11" s="61">
        <f t="shared" ref="S11:S21" si="2">((D11*F11+G11*I11+J11*L11+M11*O11)/10*$Q$11*1000/850)</f>
        <v>0</v>
      </c>
      <c r="T11" s="416"/>
    </row>
    <row r="12" spans="1:26" ht="12.95" customHeight="1" x14ac:dyDescent="0.2">
      <c r="A12" s="189" t="s">
        <v>27</v>
      </c>
      <c r="B12" s="146">
        <f>'Eingabemaske Rindvieh'!B11</f>
        <v>0</v>
      </c>
      <c r="C12" s="32">
        <v>2.2000000000000002</v>
      </c>
      <c r="D12" s="147">
        <f>'Eingabemaske Rindvieh'!C11</f>
        <v>0</v>
      </c>
      <c r="E12" s="494">
        <f>C12/2</f>
        <v>1.1000000000000001</v>
      </c>
      <c r="F12" s="490">
        <f t="shared" si="0"/>
        <v>11.294550000000001</v>
      </c>
      <c r="G12" s="147">
        <f>'Eingabemaske Rindvieh'!D11</f>
        <v>0</v>
      </c>
      <c r="H12" s="31" t="s">
        <v>57</v>
      </c>
      <c r="I12" s="490">
        <f>(22545/12/100)+(4.5*0.88*30*0.8/0.25)/100</f>
        <v>22.589100000000002</v>
      </c>
      <c r="J12" s="148">
        <f>'Eingabemaske Rindvieh'!E11</f>
        <v>0</v>
      </c>
      <c r="K12" s="25">
        <f>10058/12/1000*1.4</f>
        <v>1.1734333333333331</v>
      </c>
      <c r="L12" s="495">
        <f>9927/12/100+(1.75*0.88*30*0.8/0.25)/100</f>
        <v>9.7509000000000015</v>
      </c>
      <c r="M12" s="147">
        <f>'Eingabemaske Rindvieh'!F11</f>
        <v>0</v>
      </c>
      <c r="N12" s="25">
        <f>8342/12/1000*1.4</f>
        <v>0.97323333333333317</v>
      </c>
      <c r="O12" s="490">
        <f>13122/12/100+(2.25*0.88*30*0.8/0.25)/100</f>
        <v>12.835800000000001</v>
      </c>
      <c r="P12" s="45">
        <f t="shared" ref="P12:P23" si="3">$P$11</f>
        <v>12</v>
      </c>
      <c r="Q12" s="59">
        <f t="shared" ref="Q12:Q23" si="4">$Q$11</f>
        <v>0</v>
      </c>
      <c r="R12" s="44">
        <f t="shared" si="1"/>
        <v>0</v>
      </c>
      <c r="S12" s="62">
        <f t="shared" si="2"/>
        <v>0</v>
      </c>
      <c r="T12" s="416"/>
    </row>
    <row r="13" spans="1:26" ht="12.95" customHeight="1" x14ac:dyDescent="0.2">
      <c r="A13" s="189" t="s">
        <v>28</v>
      </c>
      <c r="B13" s="146">
        <f>'Eingabemaske Rindvieh'!B12</f>
        <v>0</v>
      </c>
      <c r="C13" s="32">
        <v>2.4</v>
      </c>
      <c r="D13" s="147">
        <f>'Eingabemaske Rindvieh'!C12</f>
        <v>0</v>
      </c>
      <c r="E13" s="494">
        <f>C13/2</f>
        <v>1.2</v>
      </c>
      <c r="F13" s="490">
        <f t="shared" si="0"/>
        <v>12.07325</v>
      </c>
      <c r="G13" s="147">
        <f>'Eingabemaske Rindvieh'!D12</f>
        <v>0</v>
      </c>
      <c r="H13" s="31" t="s">
        <v>57</v>
      </c>
      <c r="I13" s="490">
        <f>(23907/12/100)+(5*0.88*30*0.8/0.25)/100</f>
        <v>24.1465</v>
      </c>
      <c r="J13" s="148">
        <f>'Eingabemaske Rindvieh'!E12</f>
        <v>0</v>
      </c>
      <c r="K13" s="25">
        <f>10146/12/1000*1.4</f>
        <v>1.1837</v>
      </c>
      <c r="L13" s="495">
        <f>11406/12/100+(2*0.88*30*0.8/0.25)/100</f>
        <v>11.194600000000001</v>
      </c>
      <c r="M13" s="147">
        <f>'Eingabemaske Rindvieh'!F12</f>
        <v>0</v>
      </c>
      <c r="N13" s="25">
        <f>8608/12/1000*1.4</f>
        <v>1.0042666666666666</v>
      </c>
      <c r="O13" s="490">
        <f>14601/12/100+(2.5*0.88*30*0.8/0.25)/100</f>
        <v>14.279500000000001</v>
      </c>
      <c r="P13" s="45">
        <f t="shared" si="3"/>
        <v>12</v>
      </c>
      <c r="Q13" s="59">
        <f t="shared" si="4"/>
        <v>0</v>
      </c>
      <c r="R13" s="44">
        <f t="shared" si="1"/>
        <v>0</v>
      </c>
      <c r="S13" s="62">
        <f t="shared" si="2"/>
        <v>0</v>
      </c>
      <c r="T13" s="172"/>
    </row>
    <row r="14" spans="1:26" ht="12.95" customHeight="1" x14ac:dyDescent="0.2">
      <c r="A14" s="189" t="s">
        <v>29</v>
      </c>
      <c r="B14" s="146">
        <f>'Eingabemaske Rindvieh'!B13</f>
        <v>0</v>
      </c>
      <c r="C14" s="32">
        <f>((1574+206)/27/1000)*100/8.5</f>
        <v>0.77559912854030499</v>
      </c>
      <c r="D14" s="147">
        <f>'Eingabemaske Rindvieh'!C13</f>
        <v>0</v>
      </c>
      <c r="E14" s="494">
        <f>C14*0.5</f>
        <v>0.3877995642701525</v>
      </c>
      <c r="F14" s="490">
        <f t="shared" si="0"/>
        <v>4.5151851851851852</v>
      </c>
      <c r="G14" s="147">
        <f>'Eingabemaske Rindvieh'!D13</f>
        <v>0</v>
      </c>
      <c r="H14" s="31" t="s">
        <v>57</v>
      </c>
      <c r="I14" s="490">
        <f>24382/27/100</f>
        <v>9.0303703703703704</v>
      </c>
      <c r="J14" s="148">
        <f>'Eingabemaske Rindvieh'!E13</f>
        <v>0</v>
      </c>
      <c r="K14" s="25">
        <f>9843/27/1000</f>
        <v>0.36455555555555552</v>
      </c>
      <c r="L14" s="495">
        <f>12302/27/100</f>
        <v>4.5562962962962965</v>
      </c>
      <c r="M14" s="147">
        <f>'Eingabemaske Rindvieh'!F13</f>
        <v>0</v>
      </c>
      <c r="N14" s="25">
        <f>7580/27/1000</f>
        <v>0.28074074074074074</v>
      </c>
      <c r="O14" s="496">
        <f>17087/27/100</f>
        <v>6.3285185185185187</v>
      </c>
      <c r="P14" s="45">
        <f t="shared" si="3"/>
        <v>12</v>
      </c>
      <c r="Q14" s="59">
        <f t="shared" si="4"/>
        <v>0</v>
      </c>
      <c r="R14" s="44">
        <f t="shared" si="1"/>
        <v>0</v>
      </c>
      <c r="S14" s="62">
        <f t="shared" si="2"/>
        <v>0</v>
      </c>
    </row>
    <row r="15" spans="1:26" ht="12.95" customHeight="1" x14ac:dyDescent="0.2">
      <c r="A15" s="190" t="s">
        <v>30</v>
      </c>
      <c r="B15" s="146">
        <f>'Eingabemaske Rindvieh'!B14</f>
        <v>0</v>
      </c>
      <c r="C15" s="32">
        <f>((1574+206)/6/1000*0.1)*4/6*100/7.5</f>
        <v>0.26370370370370372</v>
      </c>
      <c r="D15" s="147">
        <f>'Eingabemaske Rindvieh'!C14</f>
        <v>0</v>
      </c>
      <c r="E15" s="494">
        <f>C15*0.5</f>
        <v>0.13185185185185186</v>
      </c>
      <c r="F15" s="490">
        <f t="shared" si="0"/>
        <v>1.3545555555555557</v>
      </c>
      <c r="G15" s="147">
        <f>'Eingabemaske Rindvieh'!D14</f>
        <v>0</v>
      </c>
      <c r="H15" s="31" t="s">
        <v>57</v>
      </c>
      <c r="I15" s="490">
        <f>24382*0.1/6/100*4/6</f>
        <v>2.7091111111111115</v>
      </c>
      <c r="J15" s="148">
        <f>'Eingabemaske Rindvieh'!E14</f>
        <v>0</v>
      </c>
      <c r="K15" s="25">
        <f>9843/6/1000*0.1</f>
        <v>0.16405000000000003</v>
      </c>
      <c r="L15" s="495">
        <f>12302*0.1/6/100/6*4</f>
        <v>1.3668888888888888</v>
      </c>
      <c r="M15" s="147">
        <f>'Eingabemaske Rindvieh'!F14</f>
        <v>0</v>
      </c>
      <c r="N15" s="25">
        <f>7580/6/1000*0.1</f>
        <v>0.12633333333333333</v>
      </c>
      <c r="O15" s="496">
        <f>17087/6/100*0.1/4*6</f>
        <v>4.2717500000000008</v>
      </c>
      <c r="P15" s="45">
        <f t="shared" si="3"/>
        <v>12</v>
      </c>
      <c r="Q15" s="273">
        <f t="shared" si="4"/>
        <v>0</v>
      </c>
      <c r="R15" s="274">
        <f t="shared" si="1"/>
        <v>0</v>
      </c>
      <c r="S15" s="62">
        <f t="shared" si="2"/>
        <v>0</v>
      </c>
    </row>
    <row r="16" spans="1:26" ht="12.95" customHeight="1" x14ac:dyDescent="0.2">
      <c r="A16" s="191" t="s">
        <v>31</v>
      </c>
      <c r="B16" s="146">
        <f>'Eingabemaske Rindvieh'!B15</f>
        <v>0</v>
      </c>
      <c r="C16" s="32">
        <f>((824+54)/18/1000)*100/8.5</f>
        <v>0.57385620915032687</v>
      </c>
      <c r="D16" s="147">
        <f>'Eingabemaske Rindvieh'!C15</f>
        <v>0</v>
      </c>
      <c r="E16" s="494">
        <f>C16/2</f>
        <v>0.28692810457516343</v>
      </c>
      <c r="F16" s="490">
        <f t="shared" si="0"/>
        <v>2.1758333333333333</v>
      </c>
      <c r="G16" s="147">
        <f>'Eingabemaske Rindvieh'!D15</f>
        <v>0</v>
      </c>
      <c r="H16" s="31" t="s">
        <v>57</v>
      </c>
      <c r="I16" s="490">
        <f>7833/18/100</f>
        <v>4.3516666666666666</v>
      </c>
      <c r="J16" s="148">
        <f>'Eingabemaske Rindvieh'!E15</f>
        <v>0</v>
      </c>
      <c r="K16" s="25">
        <f>3371/18/1000</f>
        <v>0.18727777777777777</v>
      </c>
      <c r="L16" s="495">
        <f>4229/18/100</f>
        <v>2.3494444444444444</v>
      </c>
      <c r="M16" s="147">
        <f>'Eingabemaske Rindvieh'!F15</f>
        <v>0</v>
      </c>
      <c r="N16" s="25">
        <f>2619/18/1000</f>
        <v>0.14549999999999999</v>
      </c>
      <c r="O16" s="490">
        <f>5819/18/100</f>
        <v>3.2327777777777778</v>
      </c>
      <c r="P16" s="45">
        <f t="shared" si="3"/>
        <v>12</v>
      </c>
      <c r="Q16" s="45">
        <f t="shared" si="4"/>
        <v>0</v>
      </c>
      <c r="R16" s="44">
        <f t="shared" si="1"/>
        <v>0</v>
      </c>
      <c r="S16" s="62">
        <f t="shared" si="2"/>
        <v>0</v>
      </c>
    </row>
    <row r="17" spans="1:19" ht="12.95" customHeight="1" x14ac:dyDescent="0.2">
      <c r="A17" s="191" t="s">
        <v>32</v>
      </c>
      <c r="B17" s="146">
        <f>'Eingabemaske Rindvieh'!B16</f>
        <v>0</v>
      </c>
      <c r="C17" s="32">
        <f>((815+55)/18/1000)*100/8</f>
        <v>0.60416666666666663</v>
      </c>
      <c r="D17" s="147">
        <f>'Eingabemaske Rindvieh'!C16</f>
        <v>0</v>
      </c>
      <c r="E17" s="494">
        <f>C17*0.5</f>
        <v>0.30208333333333331</v>
      </c>
      <c r="F17" s="490">
        <f t="shared" si="0"/>
        <v>2.0674999999999999</v>
      </c>
      <c r="G17" s="147">
        <f>'Eingabemaske Rindvieh'!D16</f>
        <v>0</v>
      </c>
      <c r="H17" s="31" t="s">
        <v>57</v>
      </c>
      <c r="I17" s="495">
        <f>7443/18/100</f>
        <v>4.1349999999999998</v>
      </c>
      <c r="J17" s="148">
        <f>'Eingabemaske Rindvieh'!E16</f>
        <v>0</v>
      </c>
      <c r="K17" s="25">
        <f>3371/18/1000</f>
        <v>0.18727777777777777</v>
      </c>
      <c r="L17" s="495">
        <f>4199/18/100</f>
        <v>2.3327777777777778</v>
      </c>
      <c r="M17" s="147">
        <f>'Eingabemaske Rindvieh'!F16</f>
        <v>0</v>
      </c>
      <c r="N17" s="25">
        <f>2619/18/1000</f>
        <v>0.14549999999999999</v>
      </c>
      <c r="O17" s="490">
        <f>5789/18/100</f>
        <v>3.2161111111111107</v>
      </c>
      <c r="P17" s="45">
        <f t="shared" si="3"/>
        <v>12</v>
      </c>
      <c r="Q17" s="59">
        <f t="shared" si="4"/>
        <v>0</v>
      </c>
      <c r="R17" s="44">
        <f t="shared" si="1"/>
        <v>0</v>
      </c>
      <c r="S17" s="62">
        <f t="shared" si="2"/>
        <v>0</v>
      </c>
    </row>
    <row r="18" spans="1:19" ht="12.95" customHeight="1" x14ac:dyDescent="0.2">
      <c r="A18" s="191" t="s">
        <v>33</v>
      </c>
      <c r="B18" s="146">
        <f>'Eingabemaske Rindvieh'!B17</f>
        <v>0</v>
      </c>
      <c r="C18" s="32">
        <f>((815+55)/16/1000)*100/8.5*0.9782</f>
        <v>0.625760294117647</v>
      </c>
      <c r="D18" s="147">
        <f>'Eingabemaske Rindvieh'!C17</f>
        <v>0</v>
      </c>
      <c r="E18" s="494">
        <f>C18*0.5</f>
        <v>0.3128801470588235</v>
      </c>
      <c r="F18" s="490">
        <f t="shared" si="0"/>
        <v>2.2721751874999998</v>
      </c>
      <c r="G18" s="147">
        <f>'Eingabemaske Rindvieh'!D17</f>
        <v>0</v>
      </c>
      <c r="H18" s="31" t="s">
        <v>57</v>
      </c>
      <c r="I18" s="490">
        <f>7433/16/100*0.9782</f>
        <v>4.5443503749999996</v>
      </c>
      <c r="J18" s="148">
        <f>'Eingabemaske Rindvieh'!E17</f>
        <v>0</v>
      </c>
      <c r="K18" s="25">
        <f>3371/16/1000</f>
        <v>0.2106875</v>
      </c>
      <c r="L18" s="495">
        <f>4199/16/100*0.9782</f>
        <v>2.5671636250000001</v>
      </c>
      <c r="M18" s="147">
        <f>'Eingabemaske Rindvieh'!F17</f>
        <v>0</v>
      </c>
      <c r="N18" s="25">
        <f>2619/16/1000</f>
        <v>0.16368750000000001</v>
      </c>
      <c r="O18" s="490">
        <f>5789/16/100*0.9782</f>
        <v>3.5392498749999999</v>
      </c>
      <c r="P18" s="45">
        <f t="shared" si="3"/>
        <v>12</v>
      </c>
      <c r="Q18" s="59">
        <f t="shared" si="4"/>
        <v>0</v>
      </c>
      <c r="R18" s="44">
        <f t="shared" si="1"/>
        <v>0</v>
      </c>
      <c r="S18" s="62">
        <f t="shared" si="2"/>
        <v>0</v>
      </c>
    </row>
    <row r="19" spans="1:19" ht="12.95" customHeight="1" x14ac:dyDescent="0.2">
      <c r="A19" s="191" t="s">
        <v>34</v>
      </c>
      <c r="B19" s="146">
        <f>'Eingabemaske Rindvieh'!B18</f>
        <v>0</v>
      </c>
      <c r="C19" s="32">
        <f>((815+55)/12/1000)*100/8.5*0.8753</f>
        <v>0.74657941176470577</v>
      </c>
      <c r="D19" s="147">
        <f>'Eingabemaske Rindvieh'!C18</f>
        <v>0</v>
      </c>
      <c r="E19" s="494">
        <f>C19*0.5</f>
        <v>0.37328970588235288</v>
      </c>
      <c r="F19" s="490">
        <f t="shared" si="0"/>
        <v>2.7108770416666661</v>
      </c>
      <c r="G19" s="147">
        <f>'Eingabemaske Rindvieh'!D18</f>
        <v>0</v>
      </c>
      <c r="H19" s="31" t="s">
        <v>57</v>
      </c>
      <c r="I19" s="490">
        <f>7433/12/100*0.8753</f>
        <v>5.4217540833333322</v>
      </c>
      <c r="J19" s="148">
        <f>'Eingabemaske Rindvieh'!E18</f>
        <v>0</v>
      </c>
      <c r="K19" s="25">
        <f>3371/12/1000</f>
        <v>0.2809166666666667</v>
      </c>
      <c r="L19" s="495">
        <f>4199/12/100*0.8753</f>
        <v>3.0628205833333335</v>
      </c>
      <c r="M19" s="147">
        <f>'Eingabemaske Rindvieh'!F18</f>
        <v>0</v>
      </c>
      <c r="N19" s="25">
        <f>2619/12/1000</f>
        <v>0.21825</v>
      </c>
      <c r="O19" s="490">
        <f>5789/12/100*0.8753</f>
        <v>4.2225930833333329</v>
      </c>
      <c r="P19" s="45">
        <f t="shared" si="3"/>
        <v>12</v>
      </c>
      <c r="Q19" s="59">
        <f t="shared" si="4"/>
        <v>0</v>
      </c>
      <c r="R19" s="44">
        <f t="shared" si="1"/>
        <v>0</v>
      </c>
      <c r="S19" s="62">
        <f t="shared" si="2"/>
        <v>0</v>
      </c>
    </row>
    <row r="20" spans="1:19" ht="33.75" customHeight="1" x14ac:dyDescent="0.2">
      <c r="A20" s="96" t="s">
        <v>35</v>
      </c>
      <c r="B20" s="146">
        <f>'Eingabemaske Rindvieh'!B19</f>
        <v>0</v>
      </c>
      <c r="C20" s="32">
        <f>((1267+129)/12/1000)*100/7.5</f>
        <v>1.5511111111111111</v>
      </c>
      <c r="D20" s="147">
        <f>'Eingabemaske Rindvieh'!C19</f>
        <v>0</v>
      </c>
      <c r="E20" s="494">
        <f>C20*0.5</f>
        <v>0.77555555555555555</v>
      </c>
      <c r="F20" s="490">
        <f t="shared" si="0"/>
        <v>6.7958333333333334</v>
      </c>
      <c r="G20" s="147">
        <f>'Eingabemaske Rindvieh'!D19</f>
        <v>0</v>
      </c>
      <c r="H20" s="31" t="s">
        <v>57</v>
      </c>
      <c r="I20" s="490">
        <f>16310/12/100</f>
        <v>13.591666666666667</v>
      </c>
      <c r="J20" s="148">
        <f>'Eingabemaske Rindvieh'!E19</f>
        <v>0</v>
      </c>
      <c r="K20" s="25">
        <f>6503/12/1000</f>
        <v>0.5419166666666666</v>
      </c>
      <c r="L20" s="495">
        <f>8340/12/100</f>
        <v>6.95</v>
      </c>
      <c r="M20" s="147">
        <f>'Eingabemaske Rindvieh'!F19</f>
        <v>0</v>
      </c>
      <c r="N20" s="25">
        <f>5496/12/1000</f>
        <v>0.45800000000000002</v>
      </c>
      <c r="O20" s="495">
        <f>10470/12/100</f>
        <v>8.7249999999999996</v>
      </c>
      <c r="P20" s="45">
        <f t="shared" si="3"/>
        <v>12</v>
      </c>
      <c r="Q20" s="45">
        <f t="shared" si="4"/>
        <v>0</v>
      </c>
      <c r="R20" s="44">
        <f t="shared" si="1"/>
        <v>0</v>
      </c>
      <c r="S20" s="62">
        <f t="shared" si="2"/>
        <v>0</v>
      </c>
    </row>
    <row r="21" spans="1:19" ht="33.75" customHeight="1" x14ac:dyDescent="0.2">
      <c r="A21" s="96" t="s">
        <v>36</v>
      </c>
      <c r="B21" s="146">
        <f>'Eingabemaske Rindvieh'!B20</f>
        <v>0</v>
      </c>
      <c r="C21" s="32">
        <f>((1414+153)/12/1000)*100/7.5</f>
        <v>1.7411111111111111</v>
      </c>
      <c r="D21" s="147">
        <f>'Eingabemaske Rindvieh'!C20</f>
        <v>0</v>
      </c>
      <c r="E21" s="494">
        <f>C21*0.5</f>
        <v>0.87055555555555553</v>
      </c>
      <c r="F21" s="490">
        <f t="shared" si="0"/>
        <v>7.8954166666666659</v>
      </c>
      <c r="G21" s="147">
        <f>'Eingabemaske Rindvieh'!D20</f>
        <v>0</v>
      </c>
      <c r="H21" s="31" t="s">
        <v>57</v>
      </c>
      <c r="I21" s="490">
        <f>18949/12/100</f>
        <v>15.790833333333332</v>
      </c>
      <c r="J21" s="148"/>
      <c r="K21" s="25">
        <f>7633/12/1000</f>
        <v>0.63608333333333333</v>
      </c>
      <c r="L21" s="495">
        <f>9888/12/100</f>
        <v>8.24</v>
      </c>
      <c r="M21" s="147">
        <f>'Eingabemaske Rindvieh'!F20</f>
        <v>0</v>
      </c>
      <c r="N21" s="25">
        <f>6625/12/1000</f>
        <v>0.55208333333333337</v>
      </c>
      <c r="O21" s="495">
        <f>12018/12/100</f>
        <v>10.015000000000001</v>
      </c>
      <c r="P21" s="45">
        <f t="shared" si="3"/>
        <v>12</v>
      </c>
      <c r="Q21" s="129">
        <f t="shared" si="4"/>
        <v>0</v>
      </c>
      <c r="R21" s="275">
        <f t="shared" si="1"/>
        <v>0</v>
      </c>
      <c r="S21" s="62">
        <f t="shared" si="2"/>
        <v>0</v>
      </c>
    </row>
    <row r="22" spans="1:19" ht="23.25" customHeight="1" x14ac:dyDescent="0.2">
      <c r="A22" s="96" t="s">
        <v>67</v>
      </c>
      <c r="B22" s="146">
        <f>'Eingabemaske Rindvieh'!B21</f>
        <v>0</v>
      </c>
      <c r="C22" s="32">
        <f>((96+7)/1000)*100/7.5*2.5/12</f>
        <v>0.28611111111111109</v>
      </c>
      <c r="D22" s="8"/>
      <c r="E22" s="8"/>
      <c r="F22" s="9"/>
      <c r="G22" s="8"/>
      <c r="H22" s="8"/>
      <c r="I22" s="10"/>
      <c r="J22" s="497"/>
      <c r="K22" s="497"/>
      <c r="L22" s="11"/>
      <c r="M22" s="12"/>
      <c r="N22" s="12"/>
      <c r="O22" s="23"/>
      <c r="P22" s="45">
        <f t="shared" si="3"/>
        <v>12</v>
      </c>
      <c r="Q22" s="59">
        <f t="shared" si="4"/>
        <v>0</v>
      </c>
      <c r="R22" s="44">
        <f>(B22*C22)*$Q$11</f>
        <v>0</v>
      </c>
      <c r="S22" s="62"/>
    </row>
    <row r="23" spans="1:19" ht="23.25" customHeight="1" thickBot="1" x14ac:dyDescent="0.25">
      <c r="A23" s="96" t="s">
        <v>38</v>
      </c>
      <c r="B23" s="146">
        <f>'Eingabemaske Rindvieh'!B22</f>
        <v>0</v>
      </c>
      <c r="C23" s="32">
        <f>((70+3)/1000)*100/5/12</f>
        <v>0.12166666666666666</v>
      </c>
      <c r="D23" s="16"/>
      <c r="E23" s="16"/>
      <c r="F23" s="17"/>
      <c r="G23" s="16"/>
      <c r="H23" s="16"/>
      <c r="I23" s="18"/>
      <c r="J23" s="498"/>
      <c r="K23" s="498"/>
      <c r="L23" s="19"/>
      <c r="M23" s="20"/>
      <c r="N23" s="20"/>
      <c r="O23" s="24"/>
      <c r="P23" s="215">
        <f t="shared" si="3"/>
        <v>12</v>
      </c>
      <c r="Q23" s="63">
        <f t="shared" si="4"/>
        <v>0</v>
      </c>
      <c r="R23" s="46">
        <f>(B23*C23)*$Q$11</f>
        <v>0</v>
      </c>
      <c r="S23" s="46"/>
    </row>
    <row r="24" spans="1:19" ht="33" customHeight="1" thickBot="1" x14ac:dyDescent="0.25">
      <c r="A24" s="192" t="s">
        <v>68</v>
      </c>
      <c r="B24" s="149">
        <v>12</v>
      </c>
      <c r="C24" s="65"/>
      <c r="D24" s="66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393"/>
      <c r="Q24" s="393"/>
      <c r="R24" s="64">
        <f>B24*0.9/1000*30*P11*(SUM(B11:B13,D11:D13,G11:G13,J11:J13,M11:M13))</f>
        <v>0</v>
      </c>
      <c r="S24" s="218"/>
    </row>
    <row r="25" spans="1:19" ht="18" customHeight="1" thickBot="1" x14ac:dyDescent="0.25">
      <c r="A25" s="159" t="s">
        <v>59</v>
      </c>
      <c r="B25" s="160"/>
      <c r="C25" s="160"/>
      <c r="D25" s="47"/>
      <c r="E25" s="47"/>
      <c r="F25" s="47"/>
      <c r="G25" s="47"/>
      <c r="H25" s="47"/>
      <c r="I25" s="47"/>
      <c r="J25" s="47"/>
      <c r="K25" s="47"/>
      <c r="L25" s="66"/>
      <c r="M25" s="66"/>
      <c r="N25" s="67"/>
      <c r="O25" s="67"/>
      <c r="P25" s="67"/>
      <c r="Q25" s="68"/>
      <c r="R25" s="499">
        <f>SUM(R11:R24)</f>
        <v>0</v>
      </c>
      <c r="S25" s="499">
        <f>SUM(S11:S24)</f>
        <v>0</v>
      </c>
    </row>
    <row r="26" spans="1:19" ht="15.75" customHeight="1" x14ac:dyDescent="0.2">
      <c r="A26" s="38" t="s">
        <v>69</v>
      </c>
    </row>
    <row r="27" spans="1:19" ht="12" customHeight="1" x14ac:dyDescent="0.2">
      <c r="A27" s="618" t="s">
        <v>70</v>
      </c>
      <c r="B27" s="585"/>
      <c r="C27" s="585"/>
      <c r="D27" s="585"/>
      <c r="E27" s="585"/>
      <c r="F27" s="585"/>
      <c r="G27" s="585"/>
      <c r="H27" s="585"/>
      <c r="I27" s="585"/>
      <c r="J27" s="585"/>
      <c r="K27" s="585"/>
      <c r="L27" s="585"/>
      <c r="M27" s="585"/>
      <c r="N27" s="585"/>
      <c r="O27" s="585"/>
      <c r="P27" s="585"/>
      <c r="Q27" s="585"/>
      <c r="R27" s="585"/>
      <c r="S27" s="585"/>
    </row>
    <row r="28" spans="1:19" x14ac:dyDescent="0.2">
      <c r="A28" s="585"/>
      <c r="B28" s="585"/>
      <c r="C28" s="585"/>
      <c r="D28" s="585"/>
      <c r="E28" s="585"/>
      <c r="F28" s="585"/>
      <c r="G28" s="585"/>
      <c r="H28" s="585"/>
      <c r="I28" s="585"/>
      <c r="J28" s="585"/>
      <c r="K28" s="585"/>
      <c r="L28" s="585"/>
      <c r="M28" s="585"/>
      <c r="N28" s="585"/>
      <c r="O28" s="585"/>
      <c r="P28" s="585"/>
      <c r="Q28" s="585"/>
      <c r="R28" s="585"/>
      <c r="S28" s="585"/>
    </row>
    <row r="29" spans="1:19" x14ac:dyDescent="0.2">
      <c r="A29" s="445"/>
      <c r="B29" s="441"/>
      <c r="C29" s="441"/>
      <c r="D29" s="441"/>
      <c r="E29" s="441"/>
      <c r="F29" s="441"/>
      <c r="G29" s="441"/>
      <c r="H29" s="441"/>
      <c r="I29" s="441"/>
      <c r="J29" s="412"/>
      <c r="K29" s="412"/>
      <c r="L29" s="439"/>
      <c r="M29" s="412"/>
      <c r="N29" s="412"/>
      <c r="O29" s="439"/>
    </row>
    <row r="30" spans="1:19" x14ac:dyDescent="0.2">
      <c r="A30" s="445"/>
      <c r="B30" s="441"/>
      <c r="C30" s="441"/>
      <c r="D30" s="433"/>
      <c r="E30" s="433"/>
      <c r="F30" s="433"/>
      <c r="G30" s="433"/>
      <c r="H30" s="433"/>
      <c r="I30" s="433"/>
      <c r="J30" s="412"/>
      <c r="K30" s="412"/>
      <c r="L30" s="439"/>
      <c r="M30" s="412"/>
      <c r="N30" s="412"/>
      <c r="O30" s="439"/>
    </row>
    <row r="31" spans="1:19" x14ac:dyDescent="0.2">
      <c r="A31" s="445"/>
      <c r="B31" s="441"/>
      <c r="C31" s="441"/>
      <c r="D31" s="433"/>
      <c r="E31" s="433"/>
      <c r="F31" s="433"/>
      <c r="G31" s="433"/>
      <c r="H31" s="433"/>
      <c r="I31" s="433"/>
      <c r="J31" s="434"/>
      <c r="K31" s="434"/>
      <c r="L31" s="439"/>
      <c r="M31" s="434"/>
      <c r="N31" s="434"/>
      <c r="O31" s="439"/>
    </row>
    <row r="32" spans="1:19" x14ac:dyDescent="0.2">
      <c r="A32" s="445"/>
      <c r="B32" s="331"/>
      <c r="C32" s="441"/>
      <c r="D32" s="433"/>
      <c r="E32" s="433"/>
      <c r="F32" s="433"/>
      <c r="G32" s="433"/>
      <c r="H32" s="433"/>
      <c r="I32" s="433"/>
      <c r="J32" s="434"/>
      <c r="K32" s="434"/>
      <c r="L32" s="439"/>
      <c r="M32" s="434"/>
      <c r="N32" s="434"/>
      <c r="O32" s="439"/>
    </row>
    <row r="33" spans="1:15" x14ac:dyDescent="0.2">
      <c r="A33" s="445"/>
      <c r="B33" s="331"/>
      <c r="C33" s="441"/>
      <c r="D33" s="433"/>
      <c r="E33" s="433"/>
      <c r="F33" s="433"/>
      <c r="G33" s="433"/>
      <c r="H33" s="433"/>
      <c r="I33" s="433"/>
      <c r="J33" s="434"/>
      <c r="K33" s="434"/>
      <c r="L33" s="405"/>
      <c r="M33" s="434"/>
      <c r="N33" s="434"/>
      <c r="O33" s="405"/>
    </row>
    <row r="34" spans="1:15" x14ac:dyDescent="0.2">
      <c r="A34" s="445"/>
      <c r="B34" s="331"/>
      <c r="C34" s="426"/>
      <c r="D34" s="426"/>
      <c r="E34" s="426"/>
      <c r="F34" s="426"/>
      <c r="G34" s="426"/>
      <c r="H34" s="426"/>
      <c r="I34" s="426"/>
      <c r="J34" s="434"/>
      <c r="K34" s="434"/>
      <c r="L34" s="405"/>
      <c r="M34" s="434"/>
      <c r="N34" s="434"/>
      <c r="O34" s="405"/>
    </row>
    <row r="35" spans="1:15" x14ac:dyDescent="0.2">
      <c r="A35" s="445"/>
      <c r="B35" s="331"/>
      <c r="C35" s="441"/>
      <c r="D35" s="433"/>
      <c r="E35" s="433"/>
      <c r="F35" s="433"/>
      <c r="G35" s="433"/>
      <c r="H35" s="433"/>
      <c r="I35" s="433"/>
      <c r="J35" s="423"/>
      <c r="K35" s="423"/>
      <c r="L35" s="435"/>
      <c r="M35" s="423"/>
      <c r="N35" s="423"/>
      <c r="O35" s="435"/>
    </row>
    <row r="36" spans="1:15" x14ac:dyDescent="0.2">
      <c r="A36" s="445"/>
      <c r="B36" s="441"/>
      <c r="C36" s="441"/>
      <c r="D36" s="433"/>
      <c r="E36" s="433"/>
      <c r="F36" s="433"/>
      <c r="G36" s="433"/>
      <c r="H36" s="433"/>
      <c r="I36" s="433"/>
      <c r="J36" s="423"/>
      <c r="K36" s="423"/>
      <c r="L36" s="435"/>
      <c r="M36" s="423"/>
      <c r="N36" s="423"/>
      <c r="O36" s="435"/>
    </row>
    <row r="37" spans="1:15" x14ac:dyDescent="0.2">
      <c r="A37" s="445"/>
      <c r="B37" s="441"/>
      <c r="C37" s="441"/>
      <c r="D37" s="433"/>
      <c r="E37" s="433"/>
      <c r="F37" s="433"/>
      <c r="G37" s="433"/>
      <c r="H37" s="433"/>
      <c r="I37" s="433"/>
      <c r="J37" s="423"/>
      <c r="K37" s="423"/>
      <c r="L37" s="435"/>
      <c r="M37" s="423"/>
      <c r="N37" s="423"/>
      <c r="O37" s="435"/>
    </row>
    <row r="38" spans="1:15" x14ac:dyDescent="0.2">
      <c r="A38" s="445"/>
      <c r="B38" s="441"/>
      <c r="C38" s="441"/>
      <c r="D38" s="433"/>
      <c r="E38" s="433"/>
      <c r="F38" s="433"/>
      <c r="G38" s="433"/>
      <c r="H38" s="433"/>
      <c r="I38" s="433"/>
      <c r="J38" s="423"/>
      <c r="K38" s="423"/>
      <c r="L38" s="435"/>
      <c r="M38" s="423"/>
      <c r="N38" s="423"/>
      <c r="O38" s="435"/>
    </row>
    <row r="39" spans="1:15" x14ac:dyDescent="0.2">
      <c r="A39" s="445"/>
      <c r="B39" s="441"/>
      <c r="C39" s="441"/>
      <c r="D39" s="433"/>
      <c r="E39" s="433"/>
      <c r="F39" s="433"/>
      <c r="G39" s="433"/>
      <c r="H39" s="433"/>
      <c r="I39" s="433"/>
      <c r="J39" s="423"/>
      <c r="K39" s="423"/>
      <c r="L39" s="435"/>
      <c r="M39" s="423"/>
      <c r="N39" s="423"/>
      <c r="O39" s="435"/>
    </row>
    <row r="40" spans="1:15" x14ac:dyDescent="0.2">
      <c r="A40" s="445"/>
      <c r="B40" s="441"/>
      <c r="C40" s="441"/>
      <c r="D40" s="433"/>
      <c r="E40" s="433"/>
      <c r="F40" s="433"/>
      <c r="G40" s="433"/>
      <c r="H40" s="433"/>
      <c r="I40" s="433"/>
      <c r="J40" s="423"/>
      <c r="K40" s="423"/>
      <c r="L40" s="435"/>
      <c r="M40" s="423"/>
      <c r="N40" s="423"/>
      <c r="O40" s="435"/>
    </row>
    <row r="41" spans="1:15" x14ac:dyDescent="0.2">
      <c r="A41" s="445"/>
      <c r="B41" s="441"/>
      <c r="C41" s="441"/>
      <c r="D41" s="433"/>
      <c r="E41" s="433"/>
      <c r="F41" s="433"/>
      <c r="G41" s="433"/>
      <c r="H41" s="433"/>
      <c r="I41" s="433"/>
      <c r="J41" s="423"/>
      <c r="K41" s="423"/>
      <c r="L41" s="435"/>
      <c r="M41" s="423"/>
      <c r="N41" s="423"/>
      <c r="O41" s="435"/>
    </row>
    <row r="42" spans="1:15" x14ac:dyDescent="0.2">
      <c r="A42" s="445"/>
      <c r="B42" s="441"/>
      <c r="C42" s="441"/>
      <c r="D42" s="433"/>
      <c r="E42" s="433"/>
      <c r="F42" s="433"/>
      <c r="G42" s="433"/>
      <c r="H42" s="433"/>
      <c r="I42" s="433"/>
      <c r="J42" s="423"/>
      <c r="K42" s="423"/>
      <c r="L42" s="435"/>
      <c r="M42" s="423"/>
      <c r="N42" s="423"/>
      <c r="O42" s="435"/>
    </row>
    <row r="43" spans="1:15" x14ac:dyDescent="0.2">
      <c r="A43" s="445"/>
      <c r="B43" s="441"/>
      <c r="C43" s="441"/>
      <c r="D43" s="433"/>
      <c r="E43" s="433"/>
      <c r="F43" s="433"/>
      <c r="G43" s="433"/>
      <c r="H43" s="433"/>
      <c r="I43" s="433"/>
      <c r="J43" s="423"/>
      <c r="K43" s="423"/>
      <c r="L43" s="435"/>
      <c r="M43" s="423"/>
      <c r="N43" s="423"/>
      <c r="O43" s="435"/>
    </row>
    <row r="44" spans="1:15" x14ac:dyDescent="0.2">
      <c r="A44" s="445"/>
      <c r="B44" s="441"/>
      <c r="C44" s="441"/>
      <c r="D44" s="433"/>
      <c r="E44" s="433"/>
      <c r="F44" s="433"/>
      <c r="G44" s="433"/>
      <c r="H44" s="433"/>
      <c r="I44" s="433"/>
      <c r="J44" s="423"/>
      <c r="K44" s="423"/>
      <c r="L44" s="435"/>
      <c r="M44" s="423"/>
      <c r="N44" s="423"/>
      <c r="O44" s="435"/>
    </row>
    <row r="45" spans="1:15" x14ac:dyDescent="0.2">
      <c r="A45" s="445"/>
      <c r="B45" s="441"/>
      <c r="C45" s="441"/>
      <c r="D45" s="433"/>
      <c r="E45" s="433"/>
      <c r="F45" s="433"/>
      <c r="G45" s="433"/>
      <c r="H45" s="433"/>
      <c r="I45" s="433"/>
      <c r="J45" s="423"/>
      <c r="K45" s="423"/>
      <c r="L45" s="435"/>
      <c r="M45" s="423"/>
      <c r="N45" s="423"/>
      <c r="O45" s="435"/>
    </row>
    <row r="46" spans="1:15" x14ac:dyDescent="0.2">
      <c r="A46" s="445"/>
      <c r="B46" s="441"/>
      <c r="C46" s="441"/>
      <c r="D46" s="433"/>
      <c r="E46" s="433"/>
      <c r="F46" s="433"/>
      <c r="G46" s="433"/>
      <c r="H46" s="433"/>
      <c r="I46" s="433"/>
      <c r="J46" s="423"/>
      <c r="K46" s="423"/>
      <c r="L46" s="435"/>
      <c r="M46" s="423"/>
      <c r="N46" s="423"/>
      <c r="O46" s="435"/>
    </row>
    <row r="47" spans="1:15" x14ac:dyDescent="0.2">
      <c r="A47" s="445"/>
      <c r="B47" s="441"/>
      <c r="C47" s="441"/>
      <c r="D47" s="433"/>
      <c r="E47" s="433"/>
      <c r="F47" s="433"/>
      <c r="G47" s="433"/>
      <c r="H47" s="433"/>
      <c r="I47" s="433"/>
      <c r="J47" s="423"/>
      <c r="K47" s="423"/>
      <c r="L47" s="435"/>
      <c r="M47" s="423"/>
      <c r="N47" s="423"/>
      <c r="O47" s="435"/>
    </row>
    <row r="48" spans="1:15" x14ac:dyDescent="0.2">
      <c r="A48" s="445"/>
      <c r="B48" s="441"/>
      <c r="C48" s="441"/>
      <c r="D48" s="433"/>
      <c r="E48" s="433"/>
      <c r="F48" s="433"/>
      <c r="G48" s="433"/>
      <c r="H48" s="433"/>
      <c r="I48" s="433"/>
      <c r="J48" s="423"/>
      <c r="K48" s="423"/>
      <c r="L48" s="435"/>
      <c r="M48" s="423"/>
      <c r="N48" s="423"/>
      <c r="O48" s="435"/>
    </row>
    <row r="49" spans="1:15" x14ac:dyDescent="0.2">
      <c r="A49" s="445"/>
      <c r="B49" s="441"/>
      <c r="C49" s="441"/>
      <c r="D49" s="433"/>
      <c r="E49" s="433"/>
      <c r="F49" s="433"/>
      <c r="G49" s="433"/>
      <c r="H49" s="433"/>
      <c r="I49" s="433"/>
      <c r="J49" s="423"/>
      <c r="K49" s="423"/>
      <c r="L49" s="435"/>
      <c r="M49" s="423"/>
      <c r="N49" s="423"/>
      <c r="O49" s="435"/>
    </row>
    <row r="50" spans="1:15" x14ac:dyDescent="0.2">
      <c r="A50" s="445"/>
      <c r="B50" s="441"/>
      <c r="C50" s="441"/>
      <c r="D50" s="433"/>
      <c r="E50" s="433"/>
      <c r="F50" s="433"/>
      <c r="G50" s="433"/>
      <c r="H50" s="433"/>
      <c r="I50" s="433"/>
      <c r="J50" s="423"/>
      <c r="K50" s="423"/>
      <c r="L50" s="435"/>
      <c r="M50" s="423"/>
      <c r="N50" s="423"/>
      <c r="O50" s="435"/>
    </row>
    <row r="51" spans="1:15" x14ac:dyDescent="0.2">
      <c r="A51" s="445"/>
      <c r="B51" s="441"/>
      <c r="C51" s="441"/>
      <c r="D51" s="433"/>
      <c r="E51" s="433"/>
      <c r="F51" s="433"/>
      <c r="G51" s="433"/>
      <c r="H51" s="433"/>
      <c r="I51" s="433"/>
      <c r="J51" s="423"/>
      <c r="K51" s="423"/>
      <c r="L51" s="435"/>
      <c r="M51" s="423"/>
      <c r="N51" s="423"/>
      <c r="O51" s="435"/>
    </row>
    <row r="52" spans="1:15" x14ac:dyDescent="0.2">
      <c r="A52" s="445"/>
      <c r="B52" s="441"/>
      <c r="C52" s="441"/>
      <c r="D52" s="433"/>
      <c r="E52" s="433"/>
      <c r="F52" s="433"/>
      <c r="G52" s="433"/>
      <c r="H52" s="433"/>
      <c r="I52" s="433"/>
      <c r="J52" s="423"/>
      <c r="K52" s="423"/>
      <c r="L52" s="435"/>
      <c r="M52" s="423"/>
      <c r="N52" s="423"/>
      <c r="O52" s="435"/>
    </row>
    <row r="53" spans="1:15" x14ac:dyDescent="0.2">
      <c r="A53" s="445"/>
      <c r="B53" s="441"/>
      <c r="C53" s="441"/>
      <c r="D53" s="433"/>
      <c r="E53" s="433"/>
      <c r="F53" s="433"/>
      <c r="G53" s="433"/>
      <c r="H53" s="433"/>
      <c r="I53" s="433"/>
      <c r="J53" s="423"/>
      <c r="K53" s="423"/>
      <c r="L53" s="435"/>
      <c r="M53" s="423"/>
      <c r="N53" s="423"/>
      <c r="O53" s="435"/>
    </row>
    <row r="54" spans="1:15" x14ac:dyDescent="0.2">
      <c r="A54" s="445"/>
      <c r="B54" s="441"/>
      <c r="C54" s="441"/>
      <c r="D54" s="441"/>
      <c r="E54" s="441"/>
      <c r="F54" s="441"/>
      <c r="G54" s="441"/>
      <c r="H54" s="441"/>
      <c r="I54" s="441"/>
      <c r="J54" s="423"/>
      <c r="K54" s="423"/>
      <c r="L54" s="435"/>
      <c r="M54" s="423"/>
      <c r="N54" s="423"/>
      <c r="O54" s="435"/>
    </row>
    <row r="55" spans="1:15" x14ac:dyDescent="0.2">
      <c r="A55" s="445"/>
      <c r="B55" s="433"/>
      <c r="C55" s="433"/>
      <c r="D55" s="433"/>
      <c r="E55" s="433"/>
      <c r="F55" s="433"/>
      <c r="G55" s="433"/>
      <c r="H55" s="433"/>
      <c r="I55" s="433"/>
      <c r="J55" s="423"/>
      <c r="K55" s="423"/>
      <c r="L55" s="435"/>
      <c r="M55" s="423"/>
      <c r="N55" s="423"/>
      <c r="O55" s="435"/>
    </row>
    <row r="56" spans="1:15" x14ac:dyDescent="0.2">
      <c r="A56" s="445"/>
      <c r="B56" s="433"/>
      <c r="C56" s="433"/>
      <c r="D56" s="426"/>
      <c r="E56" s="426"/>
      <c r="F56" s="426"/>
      <c r="G56" s="426"/>
      <c r="H56" s="426"/>
      <c r="I56" s="426"/>
      <c r="J56" s="423"/>
      <c r="K56" s="423"/>
      <c r="L56" s="435"/>
      <c r="M56" s="423"/>
      <c r="N56" s="423"/>
      <c r="O56" s="435"/>
    </row>
    <row r="57" spans="1:15" x14ac:dyDescent="0.2">
      <c r="A57" s="445"/>
      <c r="B57" s="441"/>
      <c r="C57" s="441"/>
      <c r="D57" s="433"/>
      <c r="E57" s="433"/>
      <c r="F57" s="433"/>
      <c r="G57" s="433"/>
      <c r="H57" s="433"/>
      <c r="I57" s="433"/>
      <c r="J57" s="427"/>
      <c r="K57" s="427"/>
      <c r="L57" s="435"/>
      <c r="M57" s="427"/>
      <c r="N57" s="427"/>
      <c r="O57" s="435"/>
    </row>
    <row r="58" spans="1:15" x14ac:dyDescent="0.2">
      <c r="A58" s="445"/>
      <c r="B58" s="441"/>
      <c r="C58" s="441"/>
      <c r="D58" s="441"/>
      <c r="E58" s="441"/>
      <c r="F58" s="441"/>
      <c r="G58" s="441"/>
      <c r="H58" s="441"/>
      <c r="I58" s="441"/>
      <c r="J58" s="428"/>
      <c r="K58" s="428"/>
      <c r="L58" s="435"/>
      <c r="M58" s="428"/>
      <c r="N58" s="428"/>
      <c r="O58" s="435"/>
    </row>
    <row r="59" spans="1:15" x14ac:dyDescent="0.2">
      <c r="A59" s="445"/>
      <c r="B59" s="441"/>
      <c r="C59" s="441"/>
      <c r="D59" s="441"/>
      <c r="E59" s="441"/>
      <c r="F59" s="441"/>
      <c r="G59" s="441"/>
      <c r="H59" s="441"/>
      <c r="I59" s="441"/>
      <c r="J59" s="423"/>
      <c r="K59" s="423"/>
      <c r="L59" s="435"/>
      <c r="M59" s="423"/>
      <c r="N59" s="423"/>
      <c r="O59" s="435"/>
    </row>
    <row r="60" spans="1:15" x14ac:dyDescent="0.2">
      <c r="A60" s="445"/>
      <c r="B60" s="441"/>
      <c r="C60" s="441"/>
      <c r="D60" s="429"/>
      <c r="E60" s="429"/>
      <c r="F60" s="429"/>
      <c r="G60" s="429"/>
      <c r="H60" s="429"/>
      <c r="I60" s="429"/>
      <c r="J60" s="430"/>
      <c r="K60" s="430"/>
      <c r="L60" s="435"/>
      <c r="M60" s="430"/>
      <c r="N60" s="430"/>
      <c r="O60" s="435"/>
    </row>
    <row r="61" spans="1:15" x14ac:dyDescent="0.2">
      <c r="A61" s="445"/>
      <c r="B61" s="429"/>
      <c r="C61" s="429"/>
      <c r="J61" s="431"/>
      <c r="K61" s="431"/>
      <c r="L61" s="435"/>
      <c r="M61" s="431"/>
      <c r="N61" s="431"/>
      <c r="O61" s="435"/>
    </row>
    <row r="62" spans="1:15" x14ac:dyDescent="0.2">
      <c r="A62" s="445"/>
      <c r="B62" s="441"/>
      <c r="C62" s="441"/>
      <c r="D62" s="433"/>
      <c r="E62" s="433"/>
      <c r="F62" s="433"/>
      <c r="G62" s="433"/>
      <c r="H62" s="433"/>
      <c r="I62" s="433"/>
      <c r="J62" s="423"/>
      <c r="K62" s="423"/>
      <c r="L62" s="435"/>
      <c r="M62" s="423"/>
      <c r="N62" s="423"/>
      <c r="O62" s="435"/>
    </row>
    <row r="63" spans="1:15" x14ac:dyDescent="0.2">
      <c r="A63" s="440"/>
      <c r="B63" s="441"/>
      <c r="C63" s="441"/>
      <c r="D63" s="441"/>
      <c r="E63" s="441"/>
      <c r="F63" s="441"/>
      <c r="G63" s="441"/>
      <c r="H63" s="441"/>
      <c r="I63" s="441"/>
      <c r="J63" s="432"/>
      <c r="K63" s="432"/>
      <c r="L63" s="435"/>
      <c r="M63" s="432"/>
      <c r="N63" s="432"/>
      <c r="O63" s="435"/>
    </row>
    <row r="64" spans="1:15" x14ac:dyDescent="0.2">
      <c r="A64" s="445"/>
      <c r="B64" s="441"/>
      <c r="C64" s="441"/>
      <c r="D64" s="433"/>
      <c r="E64" s="433"/>
      <c r="F64" s="433"/>
      <c r="G64" s="433"/>
      <c r="H64" s="433"/>
      <c r="I64" s="433"/>
      <c r="J64" s="434"/>
      <c r="K64" s="434"/>
      <c r="L64" s="435"/>
      <c r="M64" s="434"/>
      <c r="N64" s="434"/>
      <c r="O64" s="435"/>
    </row>
    <row r="65" spans="1:15" x14ac:dyDescent="0.2">
      <c r="A65" s="442"/>
      <c r="B65" s="441"/>
      <c r="C65" s="441"/>
      <c r="D65" s="433"/>
      <c r="E65" s="433"/>
      <c r="F65" s="433"/>
      <c r="G65" s="433"/>
      <c r="H65" s="433"/>
      <c r="I65" s="433"/>
      <c r="J65" s="434"/>
      <c r="K65" s="434"/>
      <c r="L65" s="435"/>
      <c r="M65" s="434"/>
      <c r="N65" s="434"/>
      <c r="O65" s="435"/>
    </row>
    <row r="66" spans="1:15" x14ac:dyDescent="0.2">
      <c r="A66" s="442"/>
      <c r="B66" s="441"/>
      <c r="C66" s="441"/>
      <c r="D66" s="433"/>
      <c r="E66" s="433"/>
      <c r="F66" s="433"/>
      <c r="G66" s="433"/>
      <c r="H66" s="433"/>
      <c r="I66" s="433"/>
      <c r="J66" s="434"/>
      <c r="K66" s="434"/>
      <c r="L66" s="435"/>
      <c r="M66" s="434"/>
      <c r="N66" s="434"/>
      <c r="O66" s="435"/>
    </row>
    <row r="67" spans="1:15" x14ac:dyDescent="0.2">
      <c r="A67" s="442"/>
      <c r="B67" s="441"/>
      <c r="C67" s="441"/>
      <c r="D67" s="433"/>
      <c r="E67" s="433"/>
      <c r="F67" s="433"/>
      <c r="G67" s="433"/>
      <c r="H67" s="433"/>
      <c r="I67" s="433"/>
      <c r="J67" s="434"/>
      <c r="K67" s="434"/>
      <c r="L67" s="435"/>
      <c r="M67" s="434"/>
      <c r="N67" s="434"/>
      <c r="O67" s="435"/>
    </row>
    <row r="68" spans="1:15" x14ac:dyDescent="0.2">
      <c r="A68" s="442"/>
      <c r="B68" s="441"/>
      <c r="C68" s="441"/>
      <c r="D68" s="433"/>
      <c r="E68" s="433"/>
      <c r="F68" s="433"/>
      <c r="G68" s="433"/>
      <c r="H68" s="433"/>
      <c r="I68" s="433"/>
      <c r="J68" s="434"/>
      <c r="K68" s="434"/>
      <c r="L68" s="436"/>
      <c r="M68" s="434"/>
      <c r="N68" s="434"/>
      <c r="O68" s="436"/>
    </row>
    <row r="69" spans="1:15" x14ac:dyDescent="0.2">
      <c r="A69" s="445"/>
      <c r="B69" s="441"/>
      <c r="C69" s="441"/>
      <c r="D69" s="433"/>
      <c r="E69" s="433"/>
      <c r="F69" s="433"/>
      <c r="G69" s="433"/>
      <c r="H69" s="433"/>
      <c r="I69" s="433"/>
      <c r="J69" s="434"/>
      <c r="K69" s="434"/>
      <c r="L69" s="436"/>
      <c r="M69" s="434"/>
      <c r="N69" s="434"/>
      <c r="O69" s="436"/>
    </row>
    <row r="70" spans="1:15" x14ac:dyDescent="0.2">
      <c r="A70" s="445"/>
      <c r="B70" s="441"/>
      <c r="C70" s="441"/>
      <c r="D70" s="433"/>
      <c r="E70" s="433"/>
      <c r="F70" s="433"/>
      <c r="G70" s="433"/>
      <c r="H70" s="433"/>
      <c r="I70" s="433"/>
      <c r="J70" s="434"/>
      <c r="K70" s="434"/>
      <c r="L70" s="437"/>
      <c r="M70" s="434"/>
      <c r="N70" s="434"/>
      <c r="O70" s="437"/>
    </row>
    <row r="71" spans="1:15" x14ac:dyDescent="0.2">
      <c r="A71" s="446"/>
      <c r="B71" s="447"/>
      <c r="C71" s="447"/>
      <c r="D71" s="438"/>
      <c r="E71" s="438"/>
      <c r="F71" s="438"/>
      <c r="G71" s="438"/>
      <c r="H71" s="438"/>
      <c r="I71" s="438"/>
      <c r="J71" s="439"/>
      <c r="K71" s="439"/>
      <c r="L71" s="439"/>
      <c r="M71" s="439"/>
      <c r="N71" s="439"/>
      <c r="O71" s="439"/>
    </row>
    <row r="72" spans="1:15" x14ac:dyDescent="0.2">
      <c r="A72" s="448"/>
      <c r="B72" s="439"/>
      <c r="C72" s="439"/>
      <c r="D72" s="439"/>
      <c r="E72" s="439"/>
      <c r="F72" s="439"/>
      <c r="G72" s="439"/>
      <c r="H72" s="439"/>
      <c r="I72" s="439"/>
      <c r="J72" s="439"/>
      <c r="K72" s="439"/>
      <c r="L72" s="439"/>
      <c r="M72" s="439"/>
      <c r="N72" s="439"/>
      <c r="O72" s="439"/>
    </row>
    <row r="73" spans="1:15" x14ac:dyDescent="0.2">
      <c r="A73" s="448"/>
      <c r="B73" s="439"/>
      <c r="C73" s="439"/>
      <c r="D73" s="439"/>
      <c r="E73" s="439"/>
      <c r="F73" s="439"/>
      <c r="G73" s="439"/>
      <c r="H73" s="439"/>
      <c r="I73" s="439"/>
      <c r="J73" s="439"/>
      <c r="K73" s="439"/>
      <c r="L73" s="439"/>
      <c r="M73" s="439"/>
      <c r="N73" s="439"/>
      <c r="O73" s="439"/>
    </row>
    <row r="74" spans="1:15" x14ac:dyDescent="0.2">
      <c r="A74" s="448"/>
      <c r="B74" s="439"/>
      <c r="C74" s="439"/>
      <c r="D74" s="439"/>
      <c r="E74" s="439"/>
      <c r="F74" s="439"/>
      <c r="G74" s="439"/>
      <c r="H74" s="439"/>
      <c r="I74" s="439"/>
      <c r="J74" s="439"/>
      <c r="K74" s="439"/>
      <c r="L74" s="439"/>
      <c r="M74" s="439"/>
      <c r="N74" s="439"/>
      <c r="O74" s="439"/>
    </row>
    <row r="75" spans="1:15" x14ac:dyDescent="0.2">
      <c r="A75" s="448"/>
      <c r="B75" s="439"/>
      <c r="C75" s="439"/>
      <c r="D75" s="439"/>
      <c r="E75" s="439"/>
      <c r="F75" s="439"/>
      <c r="G75" s="439"/>
      <c r="H75" s="439"/>
      <c r="I75" s="439"/>
      <c r="J75" s="439"/>
      <c r="K75" s="439"/>
      <c r="L75" s="439"/>
      <c r="M75" s="439"/>
      <c r="N75" s="439"/>
      <c r="O75" s="439"/>
    </row>
    <row r="76" spans="1:15" x14ac:dyDescent="0.2">
      <c r="A76" s="448"/>
      <c r="B76" s="439"/>
      <c r="C76" s="439"/>
      <c r="D76" s="439"/>
      <c r="E76" s="439"/>
      <c r="F76" s="439"/>
      <c r="G76" s="439"/>
      <c r="H76" s="439"/>
      <c r="I76" s="439"/>
      <c r="J76" s="439"/>
      <c r="K76" s="439"/>
      <c r="L76" s="439"/>
      <c r="M76" s="439"/>
      <c r="N76" s="439"/>
      <c r="O76" s="439"/>
    </row>
    <row r="77" spans="1:15" x14ac:dyDescent="0.2">
      <c r="A77" s="448"/>
      <c r="B77" s="439"/>
      <c r="C77" s="439"/>
      <c r="D77" s="439"/>
      <c r="E77" s="439"/>
      <c r="F77" s="439"/>
      <c r="G77" s="439"/>
      <c r="H77" s="439"/>
      <c r="I77" s="439"/>
      <c r="J77" s="439"/>
      <c r="K77" s="439"/>
      <c r="L77" s="439"/>
      <c r="M77" s="439"/>
      <c r="N77" s="439"/>
      <c r="O77" s="439"/>
    </row>
    <row r="78" spans="1:15" x14ac:dyDescent="0.2">
      <c r="A78" s="449"/>
      <c r="B78" s="450"/>
      <c r="C78" s="450"/>
      <c r="D78" s="443"/>
      <c r="E78" s="443"/>
      <c r="F78" s="443"/>
      <c r="G78" s="443"/>
      <c r="H78" s="443"/>
      <c r="I78" s="443"/>
      <c r="J78" s="444"/>
      <c r="K78" s="444"/>
      <c r="L78" s="444"/>
      <c r="M78" s="444"/>
      <c r="N78" s="444"/>
      <c r="O78" s="444"/>
    </row>
    <row r="79" spans="1:15" x14ac:dyDescent="0.2">
      <c r="A79" s="451"/>
      <c r="B79" s="450"/>
      <c r="C79" s="450"/>
      <c r="D79" s="443"/>
      <c r="E79" s="443"/>
      <c r="F79" s="443"/>
      <c r="G79" s="443"/>
      <c r="H79" s="443"/>
      <c r="I79" s="443"/>
      <c r="J79" s="444"/>
      <c r="K79" s="444"/>
      <c r="L79" s="444"/>
      <c r="M79" s="444"/>
      <c r="N79" s="444"/>
      <c r="O79" s="444"/>
    </row>
    <row r="80" spans="1:15" x14ac:dyDescent="0.2">
      <c r="A80" s="451"/>
      <c r="B80" s="450"/>
      <c r="C80" s="450"/>
      <c r="D80" s="443"/>
      <c r="E80" s="443"/>
      <c r="F80" s="443"/>
      <c r="G80" s="443"/>
      <c r="H80" s="443"/>
      <c r="I80" s="443"/>
      <c r="J80" s="444"/>
      <c r="K80" s="444"/>
      <c r="L80" s="444"/>
      <c r="M80" s="444"/>
      <c r="N80" s="444"/>
      <c r="O80" s="444"/>
    </row>
  </sheetData>
  <mergeCells count="21">
    <mergeCell ref="A27:S28"/>
    <mergeCell ref="M8:O8"/>
    <mergeCell ref="Q5:Q10"/>
    <mergeCell ref="D8:F8"/>
    <mergeCell ref="B8:C8"/>
    <mergeCell ref="D1:M2"/>
    <mergeCell ref="B6:O6"/>
    <mergeCell ref="M9:O9"/>
    <mergeCell ref="X8:Z8"/>
    <mergeCell ref="G8:I8"/>
    <mergeCell ref="B5:O5"/>
    <mergeCell ref="J9:L9"/>
    <mergeCell ref="P5:P10"/>
    <mergeCell ref="A4:R4"/>
    <mergeCell ref="G9:I9"/>
    <mergeCell ref="J8:L8"/>
    <mergeCell ref="B9:C9"/>
    <mergeCell ref="S5:S10"/>
    <mergeCell ref="R5:R10"/>
    <mergeCell ref="B7:O7"/>
    <mergeCell ref="D9:F9"/>
  </mergeCells>
  <printOptions horizontalCentered="1"/>
  <pageMargins left="0.19685039370078741" right="0.27559055118110237" top="0.59055118110236227" bottom="0.35433070866141742" header="0.19685039370078741" footer="0"/>
  <pageSetup paperSize="9" scale="69" orientation="landscape" r:id="rId1"/>
  <headerFooter alignWithMargins="0">
    <oddHeader>&amp;L
Arbeitskreis Bauen, Energie, Technik&amp;C&amp;P&amp;R&amp;G</oddHeader>
    <oddFooter>&amp;R&amp;F</oddFooter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V75"/>
  <sheetViews>
    <sheetView showGridLines="0" showZeros="0" topLeftCell="A6" zoomScaleNormal="100" zoomScaleSheetLayoutView="100" zoomScalePageLayoutView="106" workbookViewId="0">
      <selection activeCell="I14" sqref="I14:J14"/>
    </sheetView>
  </sheetViews>
  <sheetFormatPr baseColWidth="10" defaultRowHeight="12.75" x14ac:dyDescent="0.2"/>
  <cols>
    <col min="1" max="1" width="11.140625" style="473" customWidth="1"/>
    <col min="2" max="2" width="32.28515625" style="473" customWidth="1"/>
    <col min="3" max="3" width="3.140625" style="473" bestFit="1" customWidth="1"/>
    <col min="4" max="4" width="6.7109375" style="473" customWidth="1"/>
    <col min="5" max="5" width="4" style="473" bestFit="1" customWidth="1"/>
    <col min="6" max="6" width="5.5703125" style="473" bestFit="1" customWidth="1"/>
    <col min="7" max="7" width="3.85546875" style="473" customWidth="1"/>
    <col min="8" max="8" width="5.42578125" style="473" customWidth="1"/>
    <col min="9" max="9" width="4.85546875" style="473" customWidth="1"/>
    <col min="10" max="10" width="4.42578125" style="473" bestFit="1" customWidth="1"/>
    <col min="11" max="11" width="3.85546875" style="473" customWidth="1"/>
    <col min="12" max="12" width="5.28515625" style="473" customWidth="1"/>
    <col min="13" max="13" width="4.5703125" style="473" customWidth="1"/>
    <col min="14" max="14" width="4" style="473" bestFit="1" customWidth="1"/>
    <col min="15" max="15" width="4.85546875" style="473" bestFit="1" customWidth="1"/>
    <col min="16" max="16" width="4.7109375" style="473" customWidth="1"/>
    <col min="17" max="17" width="5.28515625" style="473" customWidth="1"/>
    <col min="18" max="18" width="3.7109375" style="473" customWidth="1"/>
    <col min="20" max="20" width="12" style="473" customWidth="1"/>
  </cols>
  <sheetData>
    <row r="1" spans="1:22" ht="18" customHeight="1" x14ac:dyDescent="0.25">
      <c r="A1" s="634"/>
      <c r="B1" s="558"/>
      <c r="C1" s="457"/>
      <c r="D1" s="457"/>
      <c r="E1" s="457"/>
      <c r="F1" s="457"/>
      <c r="G1" s="457"/>
      <c r="H1" s="611"/>
      <c r="I1" s="585"/>
      <c r="J1" s="585"/>
      <c r="K1" s="585"/>
      <c r="L1" s="585"/>
      <c r="M1" s="585"/>
      <c r="N1" s="585"/>
      <c r="O1" s="585"/>
      <c r="P1" s="585"/>
    </row>
    <row r="2" spans="1:22" ht="15.75" customHeight="1" x14ac:dyDescent="0.25">
      <c r="A2" s="629"/>
      <c r="B2" s="630"/>
      <c r="C2" s="397"/>
      <c r="D2" s="397"/>
      <c r="E2" s="397"/>
      <c r="F2" s="397"/>
      <c r="G2" s="397"/>
      <c r="H2" s="612"/>
      <c r="I2" s="612"/>
      <c r="J2" s="612"/>
      <c r="K2" s="612"/>
      <c r="L2" s="612"/>
      <c r="M2" s="612"/>
      <c r="N2" s="612"/>
      <c r="O2" s="612"/>
      <c r="P2" s="612"/>
      <c r="Q2" s="458"/>
      <c r="R2" s="458"/>
      <c r="S2" s="458"/>
      <c r="T2" s="458"/>
    </row>
    <row r="3" spans="1:22" ht="2.25" customHeight="1" x14ac:dyDescent="0.2">
      <c r="A3" s="2"/>
      <c r="B3" s="3"/>
      <c r="C3" s="398"/>
      <c r="D3" s="398"/>
      <c r="E3" s="398"/>
      <c r="F3" s="398"/>
      <c r="G3" s="398"/>
      <c r="H3" s="4"/>
      <c r="I3" s="4"/>
      <c r="J3" s="4"/>
      <c r="K3" s="4"/>
      <c r="L3" s="4"/>
      <c r="M3" s="4"/>
      <c r="N3" s="4"/>
    </row>
    <row r="4" spans="1:22" x14ac:dyDescent="0.2">
      <c r="A4" s="453"/>
      <c r="B4" s="623" t="s">
        <v>71</v>
      </c>
      <c r="C4" s="560"/>
      <c r="D4" s="560"/>
      <c r="E4" s="560"/>
      <c r="F4" s="560"/>
      <c r="G4" s="560"/>
      <c r="H4" s="560"/>
      <c r="I4" s="560"/>
      <c r="J4" s="560"/>
      <c r="K4" s="560"/>
      <c r="L4" s="560"/>
      <c r="M4" s="560"/>
      <c r="N4" s="560"/>
      <c r="O4" s="560"/>
      <c r="P4" s="560"/>
      <c r="Q4" s="560"/>
      <c r="R4" s="560"/>
      <c r="S4" s="560"/>
      <c r="T4" s="453"/>
    </row>
    <row r="5" spans="1:22" ht="15.75" customHeight="1" thickBot="1" x14ac:dyDescent="0.25">
      <c r="A5" s="453"/>
      <c r="B5" s="453"/>
      <c r="C5" s="453"/>
      <c r="D5" s="474"/>
      <c r="E5" s="453"/>
      <c r="F5" s="453"/>
      <c r="G5" s="453"/>
      <c r="H5" s="453"/>
      <c r="I5" s="453"/>
      <c r="J5" s="453"/>
      <c r="K5" s="453"/>
      <c r="L5" s="453"/>
      <c r="M5" s="453"/>
      <c r="N5" s="453"/>
      <c r="O5" s="453"/>
      <c r="P5" s="453"/>
      <c r="Q5" s="453"/>
      <c r="R5" s="453"/>
      <c r="S5" s="453"/>
      <c r="T5" s="453"/>
    </row>
    <row r="6" spans="1:22" ht="12.75" customHeight="1" x14ac:dyDescent="0.2">
      <c r="A6" s="355"/>
      <c r="B6" s="627" t="s">
        <v>1</v>
      </c>
      <c r="C6" s="560"/>
      <c r="D6" s="586">
        <f>Übersicht!B8</f>
        <v>0</v>
      </c>
      <c r="E6" s="560"/>
      <c r="F6" s="560"/>
      <c r="G6" s="560"/>
      <c r="H6" s="560"/>
      <c r="I6" s="560"/>
      <c r="J6" s="560"/>
      <c r="K6" s="560"/>
      <c r="L6" s="560"/>
      <c r="M6" s="560"/>
      <c r="N6" s="560"/>
      <c r="O6" s="560"/>
      <c r="P6" s="560"/>
      <c r="Q6" s="609" t="s">
        <v>72</v>
      </c>
      <c r="R6" s="617" t="s">
        <v>43</v>
      </c>
      <c r="S6" s="628" t="s">
        <v>44</v>
      </c>
      <c r="T6" s="628" t="s">
        <v>73</v>
      </c>
      <c r="U6" s="460"/>
      <c r="V6" s="460"/>
    </row>
    <row r="7" spans="1:22" ht="13.5" customHeight="1" thickBot="1" x14ac:dyDescent="0.25">
      <c r="A7" s="355"/>
      <c r="B7" s="627" t="s">
        <v>2</v>
      </c>
      <c r="C7" s="560"/>
      <c r="D7" s="586" t="str">
        <f>Übersicht!B9</f>
        <v>Betrieb Name, Ort</v>
      </c>
      <c r="E7" s="560"/>
      <c r="F7" s="560"/>
      <c r="G7" s="560"/>
      <c r="H7" s="560"/>
      <c r="I7" s="560"/>
      <c r="J7" s="560"/>
      <c r="K7" s="560"/>
      <c r="L7" s="560"/>
      <c r="M7" s="560"/>
      <c r="N7" s="560"/>
      <c r="O7" s="560"/>
      <c r="P7" s="560"/>
      <c r="Q7" s="604"/>
      <c r="R7" s="604"/>
      <c r="S7" s="604"/>
      <c r="T7" s="604"/>
      <c r="U7" s="460"/>
      <c r="V7" s="460"/>
    </row>
    <row r="8" spans="1:22" ht="15" customHeight="1" thickBot="1" x14ac:dyDescent="0.25">
      <c r="A8" s="356"/>
      <c r="B8" s="469"/>
      <c r="C8" s="357"/>
      <c r="D8" s="608" t="s">
        <v>74</v>
      </c>
      <c r="E8" s="589"/>
      <c r="F8" s="589"/>
      <c r="G8" s="589"/>
      <c r="H8" s="589"/>
      <c r="I8" s="589"/>
      <c r="J8" s="589"/>
      <c r="K8" s="589"/>
      <c r="L8" s="589"/>
      <c r="M8" s="589"/>
      <c r="N8" s="589"/>
      <c r="O8" s="589"/>
      <c r="P8" s="589"/>
      <c r="Q8" s="604"/>
      <c r="R8" s="604"/>
      <c r="S8" s="604"/>
      <c r="T8" s="604"/>
    </row>
    <row r="9" spans="1:22" ht="19.5" customHeight="1" x14ac:dyDescent="0.2">
      <c r="A9" s="358"/>
      <c r="B9" s="359"/>
      <c r="C9" s="360"/>
      <c r="D9" s="633" t="s">
        <v>19</v>
      </c>
      <c r="E9" s="599"/>
      <c r="F9" s="599"/>
      <c r="G9" s="632"/>
      <c r="H9" s="631" t="s">
        <v>75</v>
      </c>
      <c r="I9" s="599"/>
      <c r="J9" s="599"/>
      <c r="K9" s="632"/>
      <c r="L9" s="626" t="s">
        <v>76</v>
      </c>
      <c r="M9" s="599"/>
      <c r="N9" s="599"/>
      <c r="O9" s="599"/>
      <c r="P9" s="599"/>
      <c r="Q9" s="604"/>
      <c r="R9" s="604"/>
      <c r="S9" s="604"/>
      <c r="T9" s="604"/>
    </row>
    <row r="10" spans="1:22" ht="73.5" customHeight="1" thickBot="1" x14ac:dyDescent="0.25">
      <c r="A10" s="187" t="s">
        <v>24</v>
      </c>
      <c r="B10" s="467" t="s">
        <v>77</v>
      </c>
      <c r="C10" s="361" t="s">
        <v>78</v>
      </c>
      <c r="D10" s="49" t="s">
        <v>25</v>
      </c>
      <c r="E10" s="50" t="s">
        <v>79</v>
      </c>
      <c r="F10" s="50" t="s">
        <v>80</v>
      </c>
      <c r="G10" s="51" t="s">
        <v>81</v>
      </c>
      <c r="H10" s="52" t="s">
        <v>25</v>
      </c>
      <c r="I10" s="53" t="s">
        <v>56</v>
      </c>
      <c r="J10" s="53" t="s">
        <v>82</v>
      </c>
      <c r="K10" s="54" t="s">
        <v>83</v>
      </c>
      <c r="L10" s="52" t="s">
        <v>25</v>
      </c>
      <c r="M10" s="53" t="s">
        <v>84</v>
      </c>
      <c r="N10" s="53" t="s">
        <v>85</v>
      </c>
      <c r="O10" s="53" t="s">
        <v>86</v>
      </c>
      <c r="P10" s="53" t="s">
        <v>87</v>
      </c>
      <c r="Q10" s="605"/>
      <c r="R10" s="604"/>
      <c r="S10" s="604"/>
      <c r="T10" s="604"/>
    </row>
    <row r="11" spans="1:22" ht="27" customHeight="1" x14ac:dyDescent="0.2">
      <c r="A11" s="620" t="s">
        <v>88</v>
      </c>
      <c r="B11" s="56" t="s">
        <v>89</v>
      </c>
      <c r="C11" s="554">
        <v>2.5</v>
      </c>
      <c r="D11" s="14"/>
      <c r="E11" s="31" t="s">
        <v>897</v>
      </c>
      <c r="F11" s="27">
        <v>0.45</v>
      </c>
      <c r="G11" s="28">
        <f t="shared" ref="G11:G20" si="0">F11*E11/C11</f>
        <v>0.18</v>
      </c>
      <c r="H11" s="14">
        <v>0</v>
      </c>
      <c r="I11" s="31" t="s">
        <v>57</v>
      </c>
      <c r="J11" s="27">
        <v>1.666666666666667</v>
      </c>
      <c r="K11" s="28">
        <f t="shared" ref="K11:K20" si="1">J11*E11/C11</f>
        <v>0.66666666666666674</v>
      </c>
      <c r="L11" s="15"/>
      <c r="M11" s="25">
        <v>0.1</v>
      </c>
      <c r="N11" s="494">
        <f t="shared" ref="N11:N20" si="2">M11*E11/C11</f>
        <v>0.04</v>
      </c>
      <c r="O11" s="25">
        <v>1.25</v>
      </c>
      <c r="P11" s="32">
        <f t="shared" ref="P11:P20" si="3">O11*E11/C11</f>
        <v>0.5</v>
      </c>
      <c r="Q11" s="79">
        <f>Übersicht!C11</f>
        <v>12</v>
      </c>
      <c r="R11" s="43">
        <f>Übersicht!C12</f>
        <v>0</v>
      </c>
      <c r="S11" s="44">
        <f t="shared" ref="S11:S20" si="4">(D11*G11+L11*N11)*$Q$11</f>
        <v>0</v>
      </c>
      <c r="T11" s="44">
        <f t="shared" ref="T11:T20" si="5">((H11*K11+L11*P11)/10*$R$11*1000/850)</f>
        <v>0</v>
      </c>
      <c r="U11" s="416" t="s">
        <v>6</v>
      </c>
    </row>
    <row r="12" spans="1:22" ht="27" customHeight="1" x14ac:dyDescent="0.2">
      <c r="A12" s="621"/>
      <c r="B12" s="56" t="s">
        <v>90</v>
      </c>
      <c r="C12" s="554">
        <v>2.5</v>
      </c>
      <c r="D12" s="14"/>
      <c r="E12" s="31">
        <v>4</v>
      </c>
      <c r="F12" s="27">
        <v>0.33</v>
      </c>
      <c r="G12" s="28">
        <f t="shared" si="0"/>
        <v>0.52800000000000002</v>
      </c>
      <c r="H12" s="14"/>
      <c r="I12" s="31" t="s">
        <v>57</v>
      </c>
      <c r="J12" s="27">
        <v>1.666666666666667</v>
      </c>
      <c r="K12" s="28">
        <f t="shared" si="1"/>
        <v>2.666666666666667</v>
      </c>
      <c r="L12" s="15"/>
      <c r="M12" s="25">
        <v>0.1</v>
      </c>
      <c r="N12" s="494">
        <f t="shared" si="2"/>
        <v>0.16</v>
      </c>
      <c r="O12" s="25">
        <v>1.25</v>
      </c>
      <c r="P12" s="32">
        <f t="shared" si="3"/>
        <v>2</v>
      </c>
      <c r="Q12" s="45">
        <f t="shared" ref="Q12:R20" si="6">Q$11</f>
        <v>12</v>
      </c>
      <c r="R12" s="45">
        <f t="shared" si="6"/>
        <v>0</v>
      </c>
      <c r="S12" s="44">
        <f t="shared" si="4"/>
        <v>0</v>
      </c>
      <c r="T12" s="44">
        <f t="shared" si="5"/>
        <v>0</v>
      </c>
    </row>
    <row r="13" spans="1:22" ht="27" customHeight="1" x14ac:dyDescent="0.2">
      <c r="A13" s="621"/>
      <c r="B13" s="56" t="s">
        <v>91</v>
      </c>
      <c r="C13" s="554">
        <v>2.5</v>
      </c>
      <c r="D13" s="14"/>
      <c r="E13" s="31">
        <v>4</v>
      </c>
      <c r="F13" s="27">
        <v>0.5</v>
      </c>
      <c r="G13" s="28">
        <f t="shared" si="0"/>
        <v>0.8</v>
      </c>
      <c r="H13" s="14"/>
      <c r="I13" s="31" t="s">
        <v>57</v>
      </c>
      <c r="J13" s="27">
        <v>2</v>
      </c>
      <c r="K13" s="28">
        <f t="shared" si="1"/>
        <v>3.2</v>
      </c>
      <c r="L13" s="15"/>
      <c r="M13" s="25">
        <v>0.125</v>
      </c>
      <c r="N13" s="494">
        <f t="shared" si="2"/>
        <v>0.2</v>
      </c>
      <c r="O13" s="25">
        <v>1.583333333333333</v>
      </c>
      <c r="P13" s="32">
        <f t="shared" si="3"/>
        <v>2.5333333333333328</v>
      </c>
      <c r="Q13" s="45">
        <f t="shared" si="6"/>
        <v>12</v>
      </c>
      <c r="R13" s="45">
        <f t="shared" si="6"/>
        <v>0</v>
      </c>
      <c r="S13" s="44">
        <f t="shared" si="4"/>
        <v>0</v>
      </c>
      <c r="T13" s="44">
        <f t="shared" si="5"/>
        <v>0</v>
      </c>
    </row>
    <row r="14" spans="1:22" ht="27" customHeight="1" x14ac:dyDescent="0.2">
      <c r="A14" s="621"/>
      <c r="B14" s="56" t="s">
        <v>92</v>
      </c>
      <c r="C14" s="554">
        <v>2.5</v>
      </c>
      <c r="D14" s="14"/>
      <c r="E14" s="31">
        <v>4</v>
      </c>
      <c r="F14" s="27">
        <v>0.5</v>
      </c>
      <c r="G14" s="28">
        <f t="shared" si="0"/>
        <v>0.8</v>
      </c>
      <c r="H14" s="14"/>
      <c r="I14" s="31" t="s">
        <v>57</v>
      </c>
      <c r="J14" s="27">
        <v>2</v>
      </c>
      <c r="K14" s="28">
        <f t="shared" si="1"/>
        <v>3.2</v>
      </c>
      <c r="L14" s="15"/>
      <c r="M14" s="25">
        <v>0.125</v>
      </c>
      <c r="N14" s="494">
        <f t="shared" si="2"/>
        <v>0.2</v>
      </c>
      <c r="O14" s="25">
        <v>1.583333333333333</v>
      </c>
      <c r="P14" s="32">
        <f t="shared" si="3"/>
        <v>2.5333333333333328</v>
      </c>
      <c r="Q14" s="45">
        <f t="shared" si="6"/>
        <v>12</v>
      </c>
      <c r="R14" s="45">
        <f t="shared" si="6"/>
        <v>0</v>
      </c>
      <c r="S14" s="44">
        <f t="shared" si="4"/>
        <v>0</v>
      </c>
      <c r="T14" s="44">
        <f t="shared" si="5"/>
        <v>0</v>
      </c>
    </row>
    <row r="15" spans="1:22" ht="27" customHeight="1" x14ac:dyDescent="0.2">
      <c r="A15" s="622"/>
      <c r="B15" s="57" t="s">
        <v>93</v>
      </c>
      <c r="C15" s="554">
        <v>2.5</v>
      </c>
      <c r="D15" s="14"/>
      <c r="E15" s="31">
        <v>4</v>
      </c>
      <c r="F15" s="27">
        <v>0.05</v>
      </c>
      <c r="G15" s="28">
        <f t="shared" si="0"/>
        <v>0.08</v>
      </c>
      <c r="H15" s="14"/>
      <c r="I15" s="31" t="s">
        <v>57</v>
      </c>
      <c r="J15" s="27">
        <v>0.15</v>
      </c>
      <c r="K15" s="28">
        <f t="shared" si="1"/>
        <v>0.24</v>
      </c>
      <c r="L15" s="15"/>
      <c r="M15" s="25">
        <v>2.5000000000000001E-2</v>
      </c>
      <c r="N15" s="494">
        <f t="shared" si="2"/>
        <v>0.04</v>
      </c>
      <c r="O15" s="25">
        <v>0.1</v>
      </c>
      <c r="P15" s="32">
        <f t="shared" si="3"/>
        <v>0.16</v>
      </c>
      <c r="Q15" s="45">
        <f t="shared" si="6"/>
        <v>12</v>
      </c>
      <c r="R15" s="45">
        <f t="shared" si="6"/>
        <v>0</v>
      </c>
      <c r="S15" s="44">
        <f t="shared" si="4"/>
        <v>0</v>
      </c>
      <c r="T15" s="44">
        <f t="shared" si="5"/>
        <v>0</v>
      </c>
    </row>
    <row r="16" spans="1:22" ht="27" customHeight="1" x14ac:dyDescent="0.2">
      <c r="A16" s="184" t="s">
        <v>94</v>
      </c>
      <c r="B16" s="56" t="s">
        <v>95</v>
      </c>
      <c r="C16" s="555">
        <v>3</v>
      </c>
      <c r="D16" s="14"/>
      <c r="E16" s="31">
        <v>6</v>
      </c>
      <c r="F16" s="27">
        <v>0.15</v>
      </c>
      <c r="G16" s="28">
        <f t="shared" si="0"/>
        <v>0.3</v>
      </c>
      <c r="H16" s="14"/>
      <c r="I16" s="31" t="s">
        <v>57</v>
      </c>
      <c r="J16" s="27">
        <v>0.83333333333333337</v>
      </c>
      <c r="K16" s="28">
        <f t="shared" si="1"/>
        <v>1.6666666666666667</v>
      </c>
      <c r="L16" s="15"/>
      <c r="M16" s="25">
        <v>0.05</v>
      </c>
      <c r="N16" s="494">
        <f t="shared" si="2"/>
        <v>0.10000000000000002</v>
      </c>
      <c r="O16" s="25">
        <v>0.5</v>
      </c>
      <c r="P16" s="32">
        <f t="shared" si="3"/>
        <v>1</v>
      </c>
      <c r="Q16" s="45">
        <f t="shared" si="6"/>
        <v>12</v>
      </c>
      <c r="R16" s="45">
        <f t="shared" si="6"/>
        <v>0</v>
      </c>
      <c r="S16" s="44">
        <f t="shared" si="4"/>
        <v>0</v>
      </c>
      <c r="T16" s="44">
        <f t="shared" si="5"/>
        <v>0</v>
      </c>
    </row>
    <row r="17" spans="1:20" ht="27" customHeight="1" x14ac:dyDescent="0.2">
      <c r="A17" s="185" t="s">
        <v>96</v>
      </c>
      <c r="B17" s="58" t="s">
        <v>97</v>
      </c>
      <c r="C17" s="554">
        <v>3</v>
      </c>
      <c r="D17" s="14"/>
      <c r="E17" s="31">
        <v>6</v>
      </c>
      <c r="F17" s="27">
        <v>0.20832999999999999</v>
      </c>
      <c r="G17" s="28">
        <f t="shared" si="0"/>
        <v>0.41665999999999997</v>
      </c>
      <c r="H17" s="14"/>
      <c r="I17" s="31" t="s">
        <v>57</v>
      </c>
      <c r="J17" s="27">
        <v>1</v>
      </c>
      <c r="K17" s="28">
        <f t="shared" si="1"/>
        <v>2</v>
      </c>
      <c r="L17" s="15"/>
      <c r="M17" s="25">
        <v>8.3000000000000004E-2</v>
      </c>
      <c r="N17" s="494">
        <f t="shared" si="2"/>
        <v>0.16600000000000001</v>
      </c>
      <c r="O17" s="25">
        <v>0.58333333333333337</v>
      </c>
      <c r="P17" s="32">
        <f t="shared" si="3"/>
        <v>1.1666666666666667</v>
      </c>
      <c r="Q17" s="45">
        <f t="shared" si="6"/>
        <v>12</v>
      </c>
      <c r="R17" s="45">
        <f t="shared" si="6"/>
        <v>0</v>
      </c>
      <c r="S17" s="44">
        <f t="shared" si="4"/>
        <v>0</v>
      </c>
      <c r="T17" s="44">
        <f t="shared" si="5"/>
        <v>0</v>
      </c>
    </row>
    <row r="18" spans="1:20" ht="27" customHeight="1" x14ac:dyDescent="0.2">
      <c r="A18" s="185" t="s">
        <v>98</v>
      </c>
      <c r="B18" s="56" t="s">
        <v>99</v>
      </c>
      <c r="C18" s="554">
        <v>2</v>
      </c>
      <c r="D18" s="14">
        <v>0</v>
      </c>
      <c r="E18" s="31">
        <v>4</v>
      </c>
      <c r="F18" s="27">
        <v>0.3</v>
      </c>
      <c r="G18" s="28">
        <f t="shared" si="0"/>
        <v>0.6</v>
      </c>
      <c r="H18" s="14"/>
      <c r="I18" s="31" t="s">
        <v>57</v>
      </c>
      <c r="J18" s="27">
        <v>1.083333333333333</v>
      </c>
      <c r="K18" s="28">
        <f t="shared" si="1"/>
        <v>2.1666666666666661</v>
      </c>
      <c r="L18" s="15"/>
      <c r="M18" s="25">
        <v>0.125</v>
      </c>
      <c r="N18" s="494">
        <f t="shared" si="2"/>
        <v>0.25</v>
      </c>
      <c r="O18" s="25">
        <v>0.66666666666666663</v>
      </c>
      <c r="P18" s="32">
        <f t="shared" si="3"/>
        <v>1.3333333333333333</v>
      </c>
      <c r="Q18" s="45">
        <f t="shared" si="6"/>
        <v>12</v>
      </c>
      <c r="R18" s="45">
        <f t="shared" si="6"/>
        <v>0</v>
      </c>
      <c r="S18" s="44">
        <f t="shared" si="4"/>
        <v>0</v>
      </c>
      <c r="T18" s="44">
        <f t="shared" si="5"/>
        <v>0</v>
      </c>
    </row>
    <row r="19" spans="1:20" ht="27" customHeight="1" x14ac:dyDescent="0.2">
      <c r="A19" s="624" t="s">
        <v>100</v>
      </c>
      <c r="B19" s="56" t="s">
        <v>101</v>
      </c>
      <c r="C19" s="554">
        <v>4.5</v>
      </c>
      <c r="D19" s="14"/>
      <c r="E19" s="31">
        <v>7.5</v>
      </c>
      <c r="F19" s="27">
        <v>0.125</v>
      </c>
      <c r="G19" s="28">
        <f t="shared" si="0"/>
        <v>0.20833333333333334</v>
      </c>
      <c r="H19" s="14"/>
      <c r="I19" s="31" t="s">
        <v>57</v>
      </c>
      <c r="J19" s="27">
        <v>1.166666666666667</v>
      </c>
      <c r="K19" s="28">
        <f t="shared" si="1"/>
        <v>1.9444444444444449</v>
      </c>
      <c r="L19" s="15"/>
      <c r="M19" s="25">
        <v>0.05</v>
      </c>
      <c r="N19" s="494">
        <f t="shared" si="2"/>
        <v>8.3333333333333329E-2</v>
      </c>
      <c r="O19" s="25">
        <v>0.58333333333333337</v>
      </c>
      <c r="P19" s="32">
        <f t="shared" si="3"/>
        <v>0.97222222222222221</v>
      </c>
      <c r="Q19" s="45">
        <f t="shared" si="6"/>
        <v>12</v>
      </c>
      <c r="R19" s="45">
        <f t="shared" si="6"/>
        <v>0</v>
      </c>
      <c r="S19" s="44">
        <f t="shared" si="4"/>
        <v>0</v>
      </c>
      <c r="T19" s="44">
        <f t="shared" si="5"/>
        <v>0</v>
      </c>
    </row>
    <row r="20" spans="1:20" ht="27" customHeight="1" thickBot="1" x14ac:dyDescent="0.25">
      <c r="A20" s="625"/>
      <c r="B20" s="186" t="s">
        <v>102</v>
      </c>
      <c r="C20" s="556">
        <v>5.5</v>
      </c>
      <c r="D20" s="22"/>
      <c r="E20" s="31">
        <v>7.5</v>
      </c>
      <c r="F20" s="29">
        <v>0.125</v>
      </c>
      <c r="G20" s="30">
        <f t="shared" si="0"/>
        <v>0.17045454545454544</v>
      </c>
      <c r="H20" s="21"/>
      <c r="I20" s="31" t="s">
        <v>57</v>
      </c>
      <c r="J20" s="29">
        <v>1.166666666666667</v>
      </c>
      <c r="K20" s="30">
        <f t="shared" si="1"/>
        <v>1.5909090909090913</v>
      </c>
      <c r="L20" s="22"/>
      <c r="M20" s="33">
        <v>0.05</v>
      </c>
      <c r="N20" s="500">
        <f t="shared" si="2"/>
        <v>6.8181818181818177E-2</v>
      </c>
      <c r="O20" s="33">
        <v>0.58333333333333337</v>
      </c>
      <c r="P20" s="34">
        <f t="shared" si="3"/>
        <v>0.79545454545454541</v>
      </c>
      <c r="Q20" s="45">
        <f t="shared" si="6"/>
        <v>12</v>
      </c>
      <c r="R20" s="45">
        <f t="shared" si="6"/>
        <v>0</v>
      </c>
      <c r="S20" s="46">
        <f t="shared" si="4"/>
        <v>0</v>
      </c>
      <c r="T20" s="46">
        <f t="shared" si="5"/>
        <v>0</v>
      </c>
    </row>
    <row r="21" spans="1:20" ht="27" customHeight="1" thickBot="1" x14ac:dyDescent="0.25">
      <c r="A21" s="355"/>
      <c r="B21" s="47" t="s">
        <v>59</v>
      </c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  <c r="Q21" s="47"/>
      <c r="R21" s="48"/>
      <c r="S21" s="499">
        <f>(SUM(S11:S20))</f>
        <v>0</v>
      </c>
      <c r="T21" s="499">
        <f>(SUM(T11:T20))</f>
        <v>0</v>
      </c>
    </row>
    <row r="22" spans="1:20" ht="12" customHeight="1" x14ac:dyDescent="0.2">
      <c r="A22" s="401"/>
      <c r="B22" s="472" t="s">
        <v>103</v>
      </c>
      <c r="C22" s="401"/>
      <c r="D22" s="401"/>
      <c r="E22" s="401"/>
      <c r="F22" s="401"/>
      <c r="G22" s="401"/>
      <c r="H22" s="402"/>
      <c r="I22" s="402"/>
      <c r="J22" s="402"/>
      <c r="K22" s="402"/>
      <c r="L22" s="403"/>
      <c r="M22" s="403"/>
      <c r="N22" s="403"/>
      <c r="O22" s="403"/>
      <c r="P22" s="404"/>
      <c r="Q22" s="406"/>
      <c r="R22" s="406"/>
      <c r="S22" s="406"/>
      <c r="T22" s="406"/>
    </row>
    <row r="23" spans="1:20" x14ac:dyDescent="0.2">
      <c r="A23" s="401"/>
      <c r="C23" s="401"/>
      <c r="D23" s="401"/>
      <c r="E23" s="401"/>
      <c r="F23" s="401"/>
      <c r="G23" s="401"/>
      <c r="L23" s="403"/>
      <c r="M23" s="403"/>
      <c r="N23" s="403"/>
      <c r="O23" s="403"/>
      <c r="P23" s="405"/>
      <c r="Q23" s="406"/>
      <c r="R23" s="406"/>
      <c r="S23" s="406"/>
      <c r="T23" s="406"/>
    </row>
    <row r="24" spans="1:20" x14ac:dyDescent="0.2">
      <c r="A24" s="445"/>
      <c r="B24" s="445"/>
      <c r="C24" s="441"/>
      <c r="D24" s="441"/>
      <c r="E24" s="441"/>
      <c r="F24" s="441"/>
      <c r="G24" s="441"/>
      <c r="H24" s="441"/>
      <c r="I24" s="441"/>
      <c r="J24" s="441"/>
      <c r="K24" s="441"/>
      <c r="L24" s="412"/>
      <c r="M24" s="412"/>
      <c r="N24" s="412"/>
      <c r="O24" s="412"/>
      <c r="P24" s="439"/>
    </row>
    <row r="25" spans="1:20" x14ac:dyDescent="0.2">
      <c r="A25" s="441"/>
      <c r="B25" s="445"/>
      <c r="C25" s="441"/>
      <c r="D25" s="441"/>
      <c r="E25" s="441"/>
      <c r="F25" s="441"/>
      <c r="G25" s="441"/>
      <c r="H25" s="433"/>
      <c r="I25" s="433"/>
      <c r="J25" s="433"/>
      <c r="K25" s="433"/>
      <c r="L25" s="412"/>
      <c r="M25" s="412"/>
      <c r="N25" s="412"/>
      <c r="O25" s="412"/>
      <c r="P25" s="439"/>
    </row>
    <row r="26" spans="1:20" x14ac:dyDescent="0.2">
      <c r="A26" s="441"/>
      <c r="B26" s="445"/>
      <c r="C26" s="441"/>
      <c r="D26" s="441"/>
      <c r="E26" s="441"/>
      <c r="F26" s="441"/>
      <c r="G26" s="441"/>
      <c r="H26" s="433"/>
      <c r="I26" s="433"/>
      <c r="J26" s="433"/>
      <c r="K26" s="433"/>
      <c r="L26" s="434"/>
      <c r="M26" s="434"/>
      <c r="N26" s="434"/>
      <c r="O26" s="434"/>
      <c r="P26" s="439"/>
    </row>
    <row r="27" spans="1:20" x14ac:dyDescent="0.2">
      <c r="A27" s="441"/>
      <c r="B27" s="445"/>
      <c r="C27" s="441"/>
      <c r="D27" s="441"/>
      <c r="E27" s="441"/>
      <c r="F27" s="441"/>
      <c r="G27" s="441"/>
      <c r="H27" s="433"/>
      <c r="I27" s="433"/>
      <c r="J27" s="433"/>
      <c r="K27" s="433"/>
      <c r="L27" s="434"/>
      <c r="M27" s="434"/>
      <c r="N27" s="434"/>
      <c r="O27" s="434"/>
      <c r="P27" s="439"/>
    </row>
    <row r="28" spans="1:20" x14ac:dyDescent="0.2">
      <c r="A28" s="441"/>
      <c r="B28" s="445"/>
      <c r="C28" s="441"/>
      <c r="D28" s="441"/>
      <c r="E28" s="441"/>
      <c r="F28" s="441"/>
      <c r="G28" s="441"/>
      <c r="H28" s="433"/>
      <c r="I28" s="433"/>
      <c r="J28" s="433"/>
      <c r="K28" s="433"/>
      <c r="L28" s="434"/>
      <c r="M28" s="434"/>
      <c r="N28" s="434"/>
      <c r="O28" s="434"/>
      <c r="P28" s="405"/>
    </row>
    <row r="29" spans="1:20" x14ac:dyDescent="0.2">
      <c r="A29" s="441"/>
      <c r="B29" s="445"/>
      <c r="C29" s="426"/>
      <c r="D29" s="426"/>
      <c r="E29" s="426"/>
      <c r="F29" s="426"/>
      <c r="G29" s="426"/>
      <c r="H29" s="426"/>
      <c r="I29" s="426"/>
      <c r="J29" s="426"/>
      <c r="K29" s="426"/>
      <c r="L29" s="434"/>
      <c r="M29" s="434"/>
      <c r="N29" s="434"/>
      <c r="O29" s="434"/>
      <c r="P29" s="405"/>
    </row>
    <row r="30" spans="1:20" ht="15" customHeight="1" x14ac:dyDescent="0.25">
      <c r="A30" s="5"/>
      <c r="B30" s="445"/>
      <c r="C30" s="441"/>
      <c r="D30" s="441"/>
      <c r="E30" s="441"/>
      <c r="F30" s="441"/>
      <c r="G30" s="441"/>
      <c r="H30" s="433"/>
      <c r="I30" s="433"/>
      <c r="J30" s="433"/>
      <c r="K30" s="433"/>
      <c r="L30" s="423"/>
      <c r="M30" s="423"/>
      <c r="N30" s="423"/>
      <c r="O30" s="423"/>
      <c r="P30" s="435"/>
    </row>
    <row r="31" spans="1:20" x14ac:dyDescent="0.2">
      <c r="A31" s="441"/>
      <c r="B31" s="445"/>
      <c r="C31" s="441"/>
      <c r="D31" s="441"/>
      <c r="E31" s="441"/>
      <c r="F31" s="441"/>
      <c r="G31" s="441"/>
      <c r="H31" s="433"/>
      <c r="I31" s="433"/>
      <c r="J31" s="433"/>
      <c r="K31" s="433"/>
      <c r="L31" s="423"/>
      <c r="M31" s="423"/>
      <c r="N31" s="423"/>
      <c r="O31" s="423"/>
      <c r="P31" s="435"/>
    </row>
    <row r="32" spans="1:20" x14ac:dyDescent="0.2">
      <c r="A32" s="441"/>
      <c r="B32" s="445"/>
      <c r="C32" s="441"/>
      <c r="D32" s="441"/>
      <c r="E32" s="441"/>
      <c r="F32" s="441"/>
      <c r="G32" s="441"/>
      <c r="H32" s="433"/>
      <c r="I32" s="433"/>
      <c r="J32" s="433"/>
      <c r="K32" s="433"/>
      <c r="L32" s="423"/>
      <c r="M32" s="423"/>
      <c r="N32" s="423"/>
      <c r="O32" s="423"/>
      <c r="P32" s="435"/>
    </row>
    <row r="33" spans="1:16" x14ac:dyDescent="0.2">
      <c r="A33" s="441"/>
      <c r="B33" s="445"/>
      <c r="C33" s="441"/>
      <c r="D33" s="441"/>
      <c r="E33" s="441"/>
      <c r="F33" s="441"/>
      <c r="G33" s="441"/>
      <c r="H33" s="433"/>
      <c r="I33" s="433"/>
      <c r="J33" s="433"/>
      <c r="K33" s="433"/>
      <c r="L33" s="423"/>
      <c r="M33" s="423"/>
      <c r="N33" s="423"/>
      <c r="O33" s="423"/>
      <c r="P33" s="435"/>
    </row>
    <row r="34" spans="1:16" x14ac:dyDescent="0.2">
      <c r="A34" s="441"/>
      <c r="B34" s="445"/>
      <c r="C34" s="441"/>
      <c r="D34" s="441"/>
      <c r="E34" s="441"/>
      <c r="F34" s="441"/>
      <c r="G34" s="441"/>
      <c r="H34" s="433"/>
      <c r="I34" s="433"/>
      <c r="J34" s="433"/>
      <c r="K34" s="433"/>
      <c r="L34" s="423"/>
      <c r="M34" s="423"/>
      <c r="N34" s="423"/>
      <c r="O34" s="423"/>
      <c r="P34" s="435"/>
    </row>
    <row r="35" spans="1:16" x14ac:dyDescent="0.2">
      <c r="A35" s="441"/>
      <c r="B35" s="445"/>
      <c r="C35" s="441"/>
      <c r="D35" s="441"/>
      <c r="E35" s="441"/>
      <c r="F35" s="441"/>
      <c r="G35" s="441"/>
      <c r="H35" s="433"/>
      <c r="I35" s="433"/>
      <c r="J35" s="433"/>
      <c r="K35" s="433"/>
      <c r="L35" s="423"/>
      <c r="M35" s="423"/>
      <c r="N35" s="423"/>
      <c r="O35" s="423"/>
      <c r="P35" s="435"/>
    </row>
    <row r="36" spans="1:16" x14ac:dyDescent="0.2">
      <c r="A36" s="441"/>
      <c r="B36" s="445"/>
      <c r="C36" s="441"/>
      <c r="D36" s="441"/>
      <c r="E36" s="441"/>
      <c r="F36" s="441"/>
      <c r="G36" s="441"/>
      <c r="H36" s="433"/>
      <c r="I36" s="433"/>
      <c r="J36" s="433"/>
      <c r="K36" s="433"/>
      <c r="L36" s="423"/>
      <c r="M36" s="423"/>
      <c r="N36" s="423"/>
      <c r="O36" s="423"/>
      <c r="P36" s="435"/>
    </row>
    <row r="37" spans="1:16" x14ac:dyDescent="0.2">
      <c r="A37" s="441"/>
      <c r="B37" s="445"/>
      <c r="C37" s="441"/>
      <c r="D37" s="441"/>
      <c r="E37" s="441"/>
      <c r="F37" s="441"/>
      <c r="G37" s="441"/>
      <c r="H37" s="433"/>
      <c r="I37" s="433"/>
      <c r="J37" s="433"/>
      <c r="K37" s="433"/>
      <c r="L37" s="423"/>
      <c r="M37" s="423"/>
      <c r="N37" s="423"/>
      <c r="O37" s="423"/>
      <c r="P37" s="435"/>
    </row>
    <row r="38" spans="1:16" x14ac:dyDescent="0.2">
      <c r="A38" s="441"/>
      <c r="B38" s="445"/>
      <c r="C38" s="441"/>
      <c r="D38" s="441"/>
      <c r="E38" s="441"/>
      <c r="F38" s="441"/>
      <c r="G38" s="441"/>
      <c r="H38" s="433"/>
      <c r="I38" s="433"/>
      <c r="J38" s="433"/>
      <c r="K38" s="433"/>
      <c r="L38" s="423"/>
      <c r="M38" s="423"/>
      <c r="N38" s="423"/>
      <c r="O38" s="423"/>
      <c r="P38" s="435"/>
    </row>
    <row r="39" spans="1:16" ht="15" customHeight="1" x14ac:dyDescent="0.25">
      <c r="A39" s="6"/>
      <c r="B39" s="445"/>
      <c r="C39" s="441"/>
      <c r="D39" s="441"/>
      <c r="E39" s="441"/>
      <c r="F39" s="441"/>
      <c r="G39" s="441"/>
      <c r="H39" s="433"/>
      <c r="I39" s="433"/>
      <c r="J39" s="433"/>
      <c r="K39" s="433"/>
      <c r="L39" s="423"/>
      <c r="M39" s="423"/>
      <c r="N39" s="423"/>
      <c r="O39" s="423"/>
      <c r="P39" s="435"/>
    </row>
    <row r="40" spans="1:16" x14ac:dyDescent="0.2">
      <c r="A40" s="441"/>
      <c r="B40" s="445"/>
      <c r="C40" s="441"/>
      <c r="D40" s="441"/>
      <c r="E40" s="441"/>
      <c r="F40" s="441"/>
      <c r="G40" s="441"/>
      <c r="H40" s="433"/>
      <c r="I40" s="433"/>
      <c r="J40" s="433"/>
      <c r="K40" s="433"/>
      <c r="L40" s="423"/>
      <c r="M40" s="423"/>
      <c r="N40" s="423"/>
      <c r="O40" s="423"/>
      <c r="P40" s="435"/>
    </row>
    <row r="41" spans="1:16" x14ac:dyDescent="0.2">
      <c r="A41" s="441"/>
      <c r="B41" s="445"/>
      <c r="C41" s="441"/>
      <c r="D41" s="441"/>
      <c r="E41" s="441"/>
      <c r="F41" s="441"/>
      <c r="G41" s="441"/>
      <c r="H41" s="433"/>
      <c r="I41" s="433"/>
      <c r="J41" s="433"/>
      <c r="K41" s="433"/>
      <c r="L41" s="423"/>
      <c r="M41" s="423"/>
      <c r="N41" s="423"/>
      <c r="O41" s="423"/>
      <c r="P41" s="435"/>
    </row>
    <row r="42" spans="1:16" x14ac:dyDescent="0.2">
      <c r="A42" s="441"/>
      <c r="B42" s="445"/>
      <c r="C42" s="441"/>
      <c r="D42" s="441"/>
      <c r="E42" s="441"/>
      <c r="F42" s="441"/>
      <c r="G42" s="441"/>
      <c r="H42" s="433"/>
      <c r="I42" s="433"/>
      <c r="J42" s="433"/>
      <c r="K42" s="433"/>
      <c r="L42" s="423"/>
      <c r="M42" s="423"/>
      <c r="N42" s="423"/>
      <c r="O42" s="423"/>
      <c r="P42" s="435"/>
    </row>
    <row r="43" spans="1:16" x14ac:dyDescent="0.2">
      <c r="A43" s="441"/>
      <c r="B43" s="445"/>
      <c r="C43" s="441"/>
      <c r="D43" s="441"/>
      <c r="E43" s="441"/>
      <c r="F43" s="441"/>
      <c r="G43" s="441"/>
      <c r="H43" s="433"/>
      <c r="I43" s="433"/>
      <c r="J43" s="433"/>
      <c r="K43" s="433"/>
      <c r="L43" s="423"/>
      <c r="M43" s="423"/>
      <c r="N43" s="423"/>
      <c r="O43" s="423"/>
      <c r="P43" s="435"/>
    </row>
    <row r="44" spans="1:16" x14ac:dyDescent="0.2">
      <c r="A44" s="441"/>
      <c r="B44" s="445"/>
      <c r="C44" s="441"/>
      <c r="D44" s="441"/>
      <c r="E44" s="441"/>
      <c r="F44" s="441"/>
      <c r="G44" s="441"/>
      <c r="H44" s="433"/>
      <c r="I44" s="433"/>
      <c r="J44" s="433"/>
      <c r="K44" s="433"/>
      <c r="L44" s="423"/>
      <c r="M44" s="423"/>
      <c r="N44" s="423"/>
      <c r="O44" s="423"/>
      <c r="P44" s="435"/>
    </row>
    <row r="45" spans="1:16" x14ac:dyDescent="0.2">
      <c r="A45" s="441"/>
      <c r="B45" s="445"/>
      <c r="C45" s="441"/>
      <c r="D45" s="441"/>
      <c r="E45" s="441"/>
      <c r="F45" s="441"/>
      <c r="G45" s="441"/>
      <c r="H45" s="433"/>
      <c r="I45" s="433"/>
      <c r="J45" s="433"/>
      <c r="K45" s="433"/>
      <c r="L45" s="423"/>
      <c r="M45" s="423"/>
      <c r="N45" s="423"/>
      <c r="O45" s="423"/>
      <c r="P45" s="435"/>
    </row>
    <row r="46" spans="1:16" x14ac:dyDescent="0.2">
      <c r="A46" s="441"/>
      <c r="B46" s="445"/>
      <c r="C46" s="441"/>
      <c r="D46" s="441"/>
      <c r="E46" s="441"/>
      <c r="F46" s="441"/>
      <c r="G46" s="441"/>
      <c r="H46" s="433"/>
      <c r="I46" s="433"/>
      <c r="J46" s="433"/>
      <c r="K46" s="433"/>
      <c r="L46" s="423"/>
      <c r="M46" s="423"/>
      <c r="N46" s="423"/>
      <c r="O46" s="423"/>
      <c r="P46" s="435"/>
    </row>
    <row r="47" spans="1:16" x14ac:dyDescent="0.2">
      <c r="A47" s="441"/>
      <c r="B47" s="445"/>
      <c r="C47" s="441"/>
      <c r="D47" s="441"/>
      <c r="E47" s="441"/>
      <c r="F47" s="441"/>
      <c r="G47" s="441"/>
      <c r="H47" s="433"/>
      <c r="I47" s="433"/>
      <c r="J47" s="433"/>
      <c r="K47" s="433"/>
      <c r="L47" s="423"/>
      <c r="M47" s="423"/>
      <c r="N47" s="423"/>
      <c r="O47" s="423"/>
      <c r="P47" s="435"/>
    </row>
    <row r="48" spans="1:16" x14ac:dyDescent="0.2">
      <c r="A48" s="441"/>
      <c r="B48" s="445"/>
      <c r="C48" s="441"/>
      <c r="D48" s="441"/>
      <c r="E48" s="441"/>
      <c r="F48" s="441"/>
      <c r="G48" s="441"/>
      <c r="H48" s="433"/>
      <c r="I48" s="433"/>
      <c r="J48" s="433"/>
      <c r="K48" s="433"/>
      <c r="L48" s="423"/>
      <c r="M48" s="423"/>
      <c r="N48" s="423"/>
      <c r="O48" s="423"/>
      <c r="P48" s="435"/>
    </row>
    <row r="49" spans="1:16" x14ac:dyDescent="0.2">
      <c r="A49" s="441"/>
      <c r="B49" s="445"/>
      <c r="C49" s="441"/>
      <c r="D49" s="441"/>
      <c r="E49" s="441"/>
      <c r="F49" s="441"/>
      <c r="G49" s="441"/>
      <c r="H49" s="441"/>
      <c r="I49" s="441"/>
      <c r="J49" s="441"/>
      <c r="K49" s="441"/>
      <c r="L49" s="423"/>
      <c r="M49" s="423"/>
      <c r="N49" s="423"/>
      <c r="O49" s="423"/>
      <c r="P49" s="435"/>
    </row>
    <row r="50" spans="1:16" ht="15" customHeight="1" x14ac:dyDescent="0.25">
      <c r="A50" s="5"/>
      <c r="B50" s="445"/>
      <c r="C50" s="433"/>
      <c r="D50" s="433"/>
      <c r="E50" s="433"/>
      <c r="F50" s="433"/>
      <c r="G50" s="433"/>
      <c r="H50" s="433"/>
      <c r="I50" s="433"/>
      <c r="J50" s="433"/>
      <c r="K50" s="433"/>
      <c r="L50" s="423"/>
      <c r="M50" s="423"/>
      <c r="N50" s="423"/>
      <c r="O50" s="423"/>
      <c r="P50" s="435"/>
    </row>
    <row r="51" spans="1:16" x14ac:dyDescent="0.2">
      <c r="A51" s="441"/>
      <c r="B51" s="445"/>
      <c r="C51" s="433"/>
      <c r="D51" s="433"/>
      <c r="E51" s="433"/>
      <c r="F51" s="433"/>
      <c r="G51" s="433"/>
      <c r="H51" s="426"/>
      <c r="I51" s="426"/>
      <c r="J51" s="426"/>
      <c r="K51" s="426"/>
      <c r="L51" s="423"/>
      <c r="M51" s="423"/>
      <c r="N51" s="423"/>
      <c r="O51" s="423"/>
      <c r="P51" s="435"/>
    </row>
    <row r="52" spans="1:16" x14ac:dyDescent="0.2">
      <c r="A52" s="441"/>
      <c r="B52" s="445"/>
      <c r="C52" s="441"/>
      <c r="D52" s="441"/>
      <c r="E52" s="441"/>
      <c r="F52" s="441"/>
      <c r="G52" s="441"/>
      <c r="H52" s="433"/>
      <c r="I52" s="433"/>
      <c r="J52" s="433"/>
      <c r="K52" s="433"/>
      <c r="L52" s="427"/>
      <c r="M52" s="427"/>
      <c r="N52" s="427"/>
      <c r="O52" s="427"/>
      <c r="P52" s="435"/>
    </row>
    <row r="53" spans="1:16" x14ac:dyDescent="0.2">
      <c r="A53" s="441"/>
      <c r="B53" s="445"/>
      <c r="C53" s="441"/>
      <c r="D53" s="441"/>
      <c r="E53" s="441"/>
      <c r="F53" s="441"/>
      <c r="G53" s="441"/>
      <c r="H53" s="441"/>
      <c r="I53" s="441"/>
      <c r="J53" s="441"/>
      <c r="K53" s="441"/>
      <c r="L53" s="428"/>
      <c r="M53" s="428"/>
      <c r="N53" s="428"/>
      <c r="O53" s="428"/>
      <c r="P53" s="435"/>
    </row>
    <row r="54" spans="1:16" ht="15" customHeight="1" x14ac:dyDescent="0.25">
      <c r="A54" s="5"/>
      <c r="B54" s="445"/>
      <c r="C54" s="441"/>
      <c r="D54" s="441"/>
      <c r="E54" s="441"/>
      <c r="F54" s="441"/>
      <c r="G54" s="441"/>
      <c r="H54" s="441"/>
      <c r="I54" s="441"/>
      <c r="J54" s="441"/>
      <c r="K54" s="441"/>
      <c r="L54" s="423"/>
      <c r="M54" s="423"/>
      <c r="N54" s="423"/>
      <c r="O54" s="423"/>
      <c r="P54" s="435"/>
    </row>
    <row r="55" spans="1:16" x14ac:dyDescent="0.2">
      <c r="A55" s="441"/>
      <c r="B55" s="445"/>
      <c r="C55" s="441"/>
      <c r="D55" s="441"/>
      <c r="E55" s="441"/>
      <c r="F55" s="441"/>
      <c r="G55" s="441"/>
      <c r="H55" s="429"/>
      <c r="I55" s="429"/>
      <c r="J55" s="429"/>
      <c r="K55" s="429"/>
      <c r="L55" s="430"/>
      <c r="M55" s="430"/>
      <c r="N55" s="430"/>
      <c r="O55" s="430"/>
      <c r="P55" s="435"/>
    </row>
    <row r="56" spans="1:16" x14ac:dyDescent="0.2">
      <c r="A56" s="441"/>
      <c r="B56" s="445"/>
      <c r="C56" s="429"/>
      <c r="D56" s="429"/>
      <c r="E56" s="429"/>
      <c r="F56" s="429"/>
      <c r="G56" s="429"/>
      <c r="L56" s="431"/>
      <c r="M56" s="431"/>
      <c r="N56" s="431"/>
      <c r="O56" s="431"/>
      <c r="P56" s="435"/>
    </row>
    <row r="57" spans="1:16" ht="15" customHeight="1" x14ac:dyDescent="0.25">
      <c r="A57" s="5"/>
      <c r="B57" s="445"/>
      <c r="C57" s="441"/>
      <c r="D57" s="441"/>
      <c r="E57" s="441"/>
      <c r="F57" s="441"/>
      <c r="G57" s="441"/>
      <c r="H57" s="433"/>
      <c r="I57" s="433"/>
      <c r="J57" s="433"/>
      <c r="K57" s="433"/>
      <c r="L57" s="423"/>
      <c r="M57" s="423"/>
      <c r="N57" s="423"/>
      <c r="O57" s="423"/>
      <c r="P57" s="435"/>
    </row>
    <row r="58" spans="1:16" x14ac:dyDescent="0.2">
      <c r="A58" s="445"/>
      <c r="B58" s="440"/>
      <c r="C58" s="441"/>
      <c r="D58" s="441"/>
      <c r="E58" s="441"/>
      <c r="F58" s="441"/>
      <c r="G58" s="441"/>
      <c r="H58" s="441"/>
      <c r="I58" s="441"/>
      <c r="J58" s="441"/>
      <c r="K58" s="441"/>
      <c r="L58" s="432"/>
      <c r="M58" s="432"/>
      <c r="N58" s="432"/>
      <c r="O58" s="432"/>
      <c r="P58" s="435"/>
    </row>
    <row r="59" spans="1:16" x14ac:dyDescent="0.2">
      <c r="A59" s="441"/>
      <c r="B59" s="445"/>
      <c r="C59" s="441"/>
      <c r="D59" s="441"/>
      <c r="E59" s="441"/>
      <c r="F59" s="441"/>
      <c r="G59" s="441"/>
      <c r="H59" s="433"/>
      <c r="I59" s="433"/>
      <c r="J59" s="433"/>
      <c r="K59" s="433"/>
      <c r="L59" s="434"/>
      <c r="M59" s="434"/>
      <c r="N59" s="434"/>
      <c r="O59" s="434"/>
      <c r="P59" s="435"/>
    </row>
    <row r="60" spans="1:16" x14ac:dyDescent="0.2">
      <c r="A60" s="7"/>
      <c r="B60" s="442"/>
      <c r="C60" s="441"/>
      <c r="D60" s="441"/>
      <c r="E60" s="441"/>
      <c r="F60" s="441"/>
      <c r="G60" s="441"/>
      <c r="H60" s="433"/>
      <c r="I60" s="433"/>
      <c r="J60" s="433"/>
      <c r="K60" s="433"/>
      <c r="L60" s="434"/>
      <c r="M60" s="434"/>
      <c r="N60" s="434"/>
      <c r="O60" s="434"/>
      <c r="P60" s="435"/>
    </row>
    <row r="61" spans="1:16" x14ac:dyDescent="0.2">
      <c r="A61" s="1"/>
      <c r="B61" s="442"/>
      <c r="C61" s="441"/>
      <c r="D61" s="441"/>
      <c r="E61" s="441"/>
      <c r="F61" s="441"/>
      <c r="G61" s="441"/>
      <c r="H61" s="433"/>
      <c r="I61" s="433"/>
      <c r="J61" s="433"/>
      <c r="K61" s="433"/>
      <c r="L61" s="434"/>
      <c r="M61" s="434"/>
      <c r="N61" s="434"/>
      <c r="O61" s="434"/>
      <c r="P61" s="435"/>
    </row>
    <row r="62" spans="1:16" x14ac:dyDescent="0.2">
      <c r="A62" s="1"/>
      <c r="B62" s="442"/>
      <c r="C62" s="441"/>
      <c r="D62" s="441"/>
      <c r="E62" s="441"/>
      <c r="F62" s="441"/>
      <c r="G62" s="441"/>
      <c r="H62" s="433"/>
      <c r="I62" s="433"/>
      <c r="J62" s="433"/>
      <c r="K62" s="433"/>
      <c r="L62" s="434"/>
      <c r="M62" s="434"/>
      <c r="N62" s="434"/>
      <c r="O62" s="434"/>
      <c r="P62" s="435"/>
    </row>
    <row r="63" spans="1:16" x14ac:dyDescent="0.2">
      <c r="A63" s="441"/>
      <c r="B63" s="442"/>
      <c r="C63" s="441"/>
      <c r="D63" s="441"/>
      <c r="E63" s="441"/>
      <c r="F63" s="441"/>
      <c r="G63" s="441"/>
      <c r="H63" s="433"/>
      <c r="I63" s="433"/>
      <c r="J63" s="433"/>
      <c r="K63" s="433"/>
      <c r="L63" s="434"/>
      <c r="M63" s="434"/>
      <c r="N63" s="434"/>
      <c r="O63" s="434"/>
      <c r="P63" s="436"/>
    </row>
    <row r="64" spans="1:16" x14ac:dyDescent="0.2">
      <c r="A64" s="441"/>
      <c r="B64" s="445"/>
      <c r="C64" s="441"/>
      <c r="D64" s="441"/>
      <c r="E64" s="441"/>
      <c r="F64" s="441"/>
      <c r="G64" s="441"/>
      <c r="H64" s="433"/>
      <c r="I64" s="433"/>
      <c r="J64" s="433"/>
      <c r="K64" s="433"/>
      <c r="L64" s="434"/>
      <c r="M64" s="434"/>
      <c r="N64" s="434"/>
      <c r="O64" s="434"/>
      <c r="P64" s="436"/>
    </row>
    <row r="65" spans="1:16" x14ac:dyDescent="0.2">
      <c r="A65" s="441"/>
      <c r="B65" s="445"/>
      <c r="C65" s="441"/>
      <c r="D65" s="441"/>
      <c r="E65" s="441"/>
      <c r="F65" s="441"/>
      <c r="G65" s="441"/>
      <c r="H65" s="433"/>
      <c r="I65" s="433"/>
      <c r="J65" s="433"/>
      <c r="K65" s="433"/>
      <c r="L65" s="434"/>
      <c r="M65" s="434"/>
      <c r="N65" s="434"/>
      <c r="O65" s="434"/>
      <c r="P65" s="437"/>
    </row>
    <row r="66" spans="1:16" x14ac:dyDescent="0.2">
      <c r="A66" s="448"/>
      <c r="B66" s="446"/>
      <c r="C66" s="447"/>
      <c r="D66" s="447"/>
      <c r="E66" s="447"/>
      <c r="F66" s="447"/>
      <c r="G66" s="447"/>
      <c r="H66" s="438"/>
      <c r="I66" s="438"/>
      <c r="J66" s="438"/>
      <c r="K66" s="438"/>
      <c r="L66" s="439"/>
      <c r="M66" s="439"/>
      <c r="N66" s="439"/>
      <c r="O66" s="439"/>
      <c r="P66" s="439"/>
    </row>
    <row r="67" spans="1:16" x14ac:dyDescent="0.2">
      <c r="A67" s="448"/>
      <c r="B67" s="448"/>
      <c r="C67" s="439"/>
      <c r="D67" s="439"/>
      <c r="E67" s="439"/>
      <c r="F67" s="439"/>
      <c r="G67" s="439"/>
      <c r="H67" s="439"/>
      <c r="I67" s="439"/>
      <c r="J67" s="439"/>
      <c r="K67" s="439"/>
      <c r="L67" s="439"/>
      <c r="M67" s="439"/>
      <c r="N67" s="439"/>
      <c r="O67" s="439"/>
      <c r="P67" s="439"/>
    </row>
    <row r="68" spans="1:16" x14ac:dyDescent="0.2">
      <c r="A68" s="448"/>
      <c r="B68" s="448"/>
      <c r="C68" s="439"/>
      <c r="D68" s="439"/>
      <c r="E68" s="439"/>
      <c r="F68" s="439"/>
      <c r="G68" s="439"/>
      <c r="H68" s="439"/>
      <c r="I68" s="439"/>
      <c r="J68" s="439"/>
      <c r="K68" s="439"/>
      <c r="L68" s="439"/>
      <c r="M68" s="439"/>
      <c r="N68" s="439"/>
      <c r="O68" s="439"/>
      <c r="P68" s="439"/>
    </row>
    <row r="69" spans="1:16" x14ac:dyDescent="0.2">
      <c r="A69" s="448"/>
      <c r="B69" s="448"/>
      <c r="C69" s="439"/>
      <c r="D69" s="439"/>
      <c r="E69" s="439"/>
      <c r="F69" s="439"/>
      <c r="G69" s="439"/>
      <c r="H69" s="439"/>
      <c r="I69" s="439"/>
      <c r="J69" s="439"/>
      <c r="K69" s="439"/>
      <c r="L69" s="439"/>
      <c r="M69" s="439"/>
      <c r="N69" s="439"/>
      <c r="O69" s="439"/>
      <c r="P69" s="439"/>
    </row>
    <row r="70" spans="1:16" x14ac:dyDescent="0.2">
      <c r="A70" s="448"/>
      <c r="B70" s="448"/>
      <c r="C70" s="439"/>
      <c r="D70" s="439"/>
      <c r="E70" s="439"/>
      <c r="F70" s="439"/>
      <c r="G70" s="439"/>
      <c r="H70" s="439"/>
      <c r="I70" s="439"/>
      <c r="J70" s="439"/>
      <c r="K70" s="439"/>
      <c r="L70" s="439"/>
      <c r="M70" s="439"/>
      <c r="N70" s="439"/>
      <c r="O70" s="439"/>
      <c r="P70" s="439"/>
    </row>
    <row r="71" spans="1:16" x14ac:dyDescent="0.2">
      <c r="A71" s="448"/>
      <c r="B71" s="448"/>
      <c r="C71" s="439"/>
      <c r="D71" s="439"/>
      <c r="E71" s="439"/>
      <c r="F71" s="439"/>
      <c r="G71" s="439"/>
      <c r="H71" s="439"/>
      <c r="I71" s="439"/>
      <c r="J71" s="439"/>
      <c r="K71" s="439"/>
      <c r="L71" s="439"/>
      <c r="M71" s="439"/>
      <c r="N71" s="439"/>
      <c r="O71" s="439"/>
      <c r="P71" s="439"/>
    </row>
    <row r="72" spans="1:16" x14ac:dyDescent="0.2">
      <c r="A72" s="448"/>
      <c r="B72" s="448"/>
      <c r="C72" s="439"/>
      <c r="D72" s="439"/>
      <c r="E72" s="439"/>
      <c r="F72" s="439"/>
      <c r="G72" s="439"/>
      <c r="H72" s="439"/>
      <c r="I72" s="439"/>
      <c r="J72" s="439"/>
      <c r="K72" s="439"/>
      <c r="L72" s="439"/>
      <c r="M72" s="439"/>
      <c r="N72" s="439"/>
      <c r="O72" s="439"/>
      <c r="P72" s="439"/>
    </row>
    <row r="73" spans="1:16" x14ac:dyDescent="0.2">
      <c r="A73" s="450"/>
      <c r="B73" s="449"/>
      <c r="C73" s="450"/>
      <c r="D73" s="450"/>
      <c r="E73" s="450"/>
      <c r="F73" s="450"/>
      <c r="G73" s="450"/>
      <c r="H73" s="443"/>
      <c r="I73" s="443"/>
      <c r="J73" s="443"/>
      <c r="K73" s="443"/>
      <c r="L73" s="444"/>
      <c r="M73" s="444"/>
      <c r="N73" s="444"/>
      <c r="O73" s="444"/>
      <c r="P73" s="444"/>
    </row>
    <row r="74" spans="1:16" x14ac:dyDescent="0.2">
      <c r="A74" s="450"/>
      <c r="B74" s="451"/>
      <c r="C74" s="450"/>
      <c r="D74" s="450"/>
      <c r="E74" s="450"/>
      <c r="F74" s="450"/>
      <c r="G74" s="450"/>
      <c r="H74" s="443"/>
      <c r="I74" s="443"/>
      <c r="J74" s="443"/>
      <c r="K74" s="443"/>
      <c r="L74" s="444"/>
      <c r="M74" s="444"/>
      <c r="N74" s="444"/>
      <c r="O74" s="444"/>
      <c r="P74" s="444"/>
    </row>
    <row r="75" spans="1:16" x14ac:dyDescent="0.2">
      <c r="A75" s="450"/>
      <c r="B75" s="451"/>
      <c r="C75" s="450"/>
      <c r="D75" s="450"/>
      <c r="E75" s="450"/>
      <c r="F75" s="450"/>
      <c r="G75" s="450"/>
      <c r="H75" s="443"/>
      <c r="I75" s="443"/>
      <c r="J75" s="443"/>
      <c r="K75" s="443"/>
      <c r="L75" s="444"/>
      <c r="M75" s="444"/>
      <c r="N75" s="444"/>
      <c r="O75" s="444"/>
      <c r="P75" s="444"/>
    </row>
  </sheetData>
  <sheetProtection algorithmName="SHA-512" hashValue="pEy8cZwa/E5xCajijJyhdhH/w06YVQt1obxWPjpLDttblRu9SDtrq8mcmNfL9lOa+4ig8/oIYnkc1lHTLOa8aw==" saltValue="YqM/Fmm7vc9+/6O9x55KEQ==" spinCount="100000" sheet="1" objects="1" scenarios="1"/>
  <mergeCells count="18">
    <mergeCell ref="T6:T10"/>
    <mergeCell ref="H1:P2"/>
    <mergeCell ref="A2:B2"/>
    <mergeCell ref="H9:K9"/>
    <mergeCell ref="D6:P6"/>
    <mergeCell ref="S6:S10"/>
    <mergeCell ref="D9:G9"/>
    <mergeCell ref="B7:C7"/>
    <mergeCell ref="A1:B1"/>
    <mergeCell ref="D8:P8"/>
    <mergeCell ref="Q6:Q10"/>
    <mergeCell ref="A11:A15"/>
    <mergeCell ref="B4:S4"/>
    <mergeCell ref="A19:A20"/>
    <mergeCell ref="R6:R10"/>
    <mergeCell ref="L9:P9"/>
    <mergeCell ref="B6:C6"/>
    <mergeCell ref="D7:P7"/>
  </mergeCells>
  <dataValidations count="1">
    <dataValidation type="whole" allowBlank="1" showInputMessage="1" showErrorMessage="1" sqref="D11:D20 H11:H20 L11:L20" xr:uid="{668EB1FB-4B13-4A55-BD03-D0D3085E8DF7}">
      <formula1>0</formula1>
      <formula2>10000</formula2>
    </dataValidation>
  </dataValidations>
  <printOptions horizontalCentered="1"/>
  <pageMargins left="0.19685039370078741" right="0.27559055118110237" top="0.59055118110236227" bottom="0.35433070866141742" header="0.19685039370078741" footer="0"/>
  <pageSetup paperSize="9" scale="69" orientation="landscape" r:id="rId1"/>
  <headerFooter alignWithMargins="0">
    <oddHeader>&amp;L
Arbeitskreis Bauen, Energie, Technik&amp;C&amp;P&amp;R&amp;G</oddHeader>
    <oddFooter>&amp;R&amp;F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T70"/>
  <sheetViews>
    <sheetView showGridLines="0" showRowColHeaders="0" showZeros="0" showRuler="0" view="pageLayout" topLeftCell="A10" zoomScaleNormal="100" zoomScaleSheetLayoutView="100" workbookViewId="0">
      <selection activeCell="O12" sqref="O12"/>
    </sheetView>
  </sheetViews>
  <sheetFormatPr baseColWidth="10" defaultRowHeight="12.75" x14ac:dyDescent="0.2"/>
  <cols>
    <col min="1" max="1" width="29.140625" style="473" customWidth="1"/>
    <col min="2" max="2" width="8.85546875" style="473" bestFit="1" customWidth="1"/>
    <col min="3" max="3" width="4.7109375" style="473" customWidth="1"/>
    <col min="4" max="4" width="4" style="473" bestFit="1" customWidth="1"/>
    <col min="5" max="5" width="4.7109375" style="473" customWidth="1"/>
    <col min="6" max="6" width="4" style="473" bestFit="1" customWidth="1"/>
    <col min="7" max="7" width="4.7109375" style="473" customWidth="1"/>
    <col min="8" max="8" width="4" style="473" customWidth="1"/>
    <col min="9" max="9" width="4.7109375" style="473" customWidth="1"/>
    <col min="10" max="10" width="4" style="473" customWidth="1"/>
    <col min="11" max="11" width="4.7109375" style="473" customWidth="1"/>
    <col min="12" max="12" width="4.42578125" style="473" customWidth="1"/>
    <col min="13" max="14" width="4.7109375" style="473" customWidth="1"/>
    <col min="15" max="15" width="5.5703125" style="473" customWidth="1"/>
    <col min="16" max="16" width="8.140625" style="473" customWidth="1"/>
    <col min="17" max="17" width="4.140625" style="473" customWidth="1"/>
    <col min="18" max="18" width="9.28515625" style="473" customWidth="1"/>
  </cols>
  <sheetData>
    <row r="1" spans="1:20" ht="15" customHeight="1" x14ac:dyDescent="0.2">
      <c r="A1" s="465"/>
      <c r="B1" s="465"/>
      <c r="C1" s="611"/>
      <c r="D1" s="585"/>
      <c r="E1" s="585"/>
      <c r="F1" s="585"/>
      <c r="G1" s="585"/>
      <c r="H1" s="585"/>
      <c r="I1" s="585"/>
      <c r="J1" s="585"/>
      <c r="K1" s="585"/>
      <c r="L1" s="585"/>
      <c r="M1" s="585"/>
      <c r="N1" s="585"/>
    </row>
    <row r="2" spans="1:20" ht="15" customHeight="1" x14ac:dyDescent="0.2">
      <c r="A2" s="466"/>
      <c r="B2" s="466"/>
      <c r="C2" s="612"/>
      <c r="D2" s="612"/>
      <c r="E2" s="612"/>
      <c r="F2" s="612"/>
      <c r="G2" s="612"/>
      <c r="H2" s="612"/>
      <c r="I2" s="612"/>
      <c r="J2" s="612"/>
      <c r="K2" s="612"/>
      <c r="L2" s="612"/>
      <c r="M2" s="612"/>
      <c r="N2" s="612"/>
      <c r="O2" s="458"/>
      <c r="P2" s="458"/>
      <c r="Q2" s="458"/>
      <c r="R2" s="458"/>
    </row>
    <row r="3" spans="1:20" ht="2.25" customHeight="1" x14ac:dyDescent="0.2">
      <c r="A3" s="3"/>
      <c r="B3" s="3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1:20" ht="13.5" customHeight="1" thickBot="1" x14ac:dyDescent="0.25">
      <c r="A4" s="623" t="s">
        <v>104</v>
      </c>
      <c r="B4" s="560"/>
      <c r="C4" s="560"/>
      <c r="D4" s="560"/>
      <c r="E4" s="560"/>
      <c r="F4" s="560"/>
      <c r="G4" s="560"/>
      <c r="H4" s="560"/>
      <c r="I4" s="560"/>
      <c r="J4" s="560"/>
      <c r="K4" s="560"/>
      <c r="L4" s="560"/>
      <c r="M4" s="560"/>
      <c r="N4" s="560"/>
      <c r="O4" s="560"/>
      <c r="P4" s="560"/>
      <c r="Q4" s="560"/>
    </row>
    <row r="5" spans="1:20" ht="12.75" customHeight="1" x14ac:dyDescent="0.2">
      <c r="A5" s="468" t="s">
        <v>1</v>
      </c>
      <c r="B5" s="586">
        <f>Übersicht!B8</f>
        <v>0</v>
      </c>
      <c r="C5" s="560"/>
      <c r="D5" s="560"/>
      <c r="E5" s="560"/>
      <c r="F5" s="560"/>
      <c r="G5" s="560"/>
      <c r="H5" s="560"/>
      <c r="I5" s="560"/>
      <c r="J5" s="560"/>
      <c r="K5" s="560"/>
      <c r="L5" s="560"/>
      <c r="M5" s="560"/>
      <c r="N5" s="560"/>
      <c r="O5" s="560"/>
      <c r="P5" s="471"/>
      <c r="Q5" s="617" t="s">
        <v>43</v>
      </c>
      <c r="R5" s="603" t="s">
        <v>105</v>
      </c>
      <c r="S5" s="460"/>
      <c r="T5" s="460"/>
    </row>
    <row r="6" spans="1:20" x14ac:dyDescent="0.2">
      <c r="A6" s="468" t="s">
        <v>2</v>
      </c>
      <c r="B6" s="586" t="str">
        <f>Übersicht!B9</f>
        <v>Betrieb Name, Ort</v>
      </c>
      <c r="C6" s="560"/>
      <c r="D6" s="560"/>
      <c r="E6" s="560"/>
      <c r="F6" s="560"/>
      <c r="G6" s="560"/>
      <c r="H6" s="560"/>
      <c r="I6" s="560"/>
      <c r="J6" s="560"/>
      <c r="K6" s="560"/>
      <c r="L6" s="560"/>
      <c r="M6" s="560"/>
      <c r="N6" s="560"/>
      <c r="O6" s="560"/>
      <c r="P6" s="471"/>
      <c r="Q6" s="604"/>
      <c r="R6" s="604"/>
      <c r="S6" s="460"/>
      <c r="T6" s="460"/>
    </row>
    <row r="7" spans="1:20" ht="13.5" customHeight="1" thickBot="1" x14ac:dyDescent="0.25">
      <c r="A7" s="468"/>
      <c r="B7" s="468"/>
      <c r="C7" s="471"/>
      <c r="D7" s="471"/>
      <c r="E7" s="471"/>
      <c r="F7" s="471"/>
      <c r="G7" s="471"/>
      <c r="H7" s="471"/>
      <c r="I7" s="471"/>
      <c r="J7" s="471"/>
      <c r="K7" s="471"/>
      <c r="L7" s="471"/>
      <c r="M7" s="471"/>
      <c r="N7" s="471"/>
      <c r="O7" s="471"/>
      <c r="P7" s="471"/>
      <c r="Q7" s="604"/>
      <c r="R7" s="604"/>
      <c r="S7" s="460"/>
      <c r="T7" s="460"/>
    </row>
    <row r="8" spans="1:20" ht="15" customHeight="1" x14ac:dyDescent="0.2">
      <c r="A8" s="453"/>
      <c r="B8" s="453"/>
      <c r="C8" s="642" t="s">
        <v>106</v>
      </c>
      <c r="D8" s="599"/>
      <c r="E8" s="599"/>
      <c r="F8" s="599"/>
      <c r="G8" s="599"/>
      <c r="H8" s="599"/>
      <c r="I8" s="599"/>
      <c r="J8" s="599"/>
      <c r="K8" s="599"/>
      <c r="L8" s="599"/>
      <c r="M8" s="599"/>
      <c r="N8" s="632"/>
      <c r="O8" s="639" t="s">
        <v>107</v>
      </c>
      <c r="P8" s="599"/>
      <c r="Q8" s="604"/>
      <c r="R8" s="604"/>
    </row>
    <row r="9" spans="1:20" ht="37.5" customHeight="1" thickBot="1" x14ac:dyDescent="0.25">
      <c r="A9" s="359"/>
      <c r="B9" s="359"/>
      <c r="C9" s="644" t="s">
        <v>108</v>
      </c>
      <c r="D9" s="637"/>
      <c r="E9" s="637"/>
      <c r="F9" s="637"/>
      <c r="G9" s="637"/>
      <c r="H9" s="645"/>
      <c r="I9" s="636" t="s">
        <v>109</v>
      </c>
      <c r="J9" s="637"/>
      <c r="K9" s="637"/>
      <c r="L9" s="637"/>
      <c r="M9" s="637"/>
      <c r="N9" s="638"/>
      <c r="O9" s="647" t="s">
        <v>110</v>
      </c>
      <c r="P9" s="637"/>
      <c r="Q9" s="604"/>
      <c r="R9" s="604"/>
    </row>
    <row r="10" spans="1:20" ht="98.25" customHeight="1" thickBot="1" x14ac:dyDescent="0.25">
      <c r="A10" s="183" t="s">
        <v>24</v>
      </c>
      <c r="B10" s="97"/>
      <c r="C10" s="91" t="s">
        <v>111</v>
      </c>
      <c r="D10" s="92" t="s">
        <v>112</v>
      </c>
      <c r="E10" s="93" t="s">
        <v>113</v>
      </c>
      <c r="F10" s="92" t="s">
        <v>112</v>
      </c>
      <c r="G10" s="93" t="s">
        <v>114</v>
      </c>
      <c r="H10" s="92" t="s">
        <v>112</v>
      </c>
      <c r="I10" s="91" t="s">
        <v>111</v>
      </c>
      <c r="J10" s="92" t="s">
        <v>112</v>
      </c>
      <c r="K10" s="93" t="s">
        <v>113</v>
      </c>
      <c r="L10" s="94" t="s">
        <v>112</v>
      </c>
      <c r="M10" s="93" t="s">
        <v>115</v>
      </c>
      <c r="N10" s="92" t="s">
        <v>112</v>
      </c>
      <c r="O10" s="91" t="s">
        <v>116</v>
      </c>
      <c r="P10" s="94" t="s">
        <v>112</v>
      </c>
      <c r="Q10" s="604"/>
      <c r="R10" s="605"/>
    </row>
    <row r="11" spans="1:20" ht="28.35" customHeight="1" x14ac:dyDescent="0.2">
      <c r="A11" s="219" t="s">
        <v>117</v>
      </c>
      <c r="B11" s="220" t="s">
        <v>118</v>
      </c>
      <c r="C11" s="221"/>
      <c r="D11" s="222">
        <v>2.4</v>
      </c>
      <c r="E11" s="223">
        <v>0</v>
      </c>
      <c r="F11" s="224">
        <v>2.2000000000000002</v>
      </c>
      <c r="G11" s="223">
        <v>0</v>
      </c>
      <c r="H11" s="225">
        <v>1.4</v>
      </c>
      <c r="I11" s="223">
        <v>0</v>
      </c>
      <c r="J11" s="224">
        <v>2.2000000000000002</v>
      </c>
      <c r="K11" s="221">
        <v>0</v>
      </c>
      <c r="L11" s="226">
        <v>2</v>
      </c>
      <c r="M11" s="221"/>
      <c r="N11" s="224">
        <v>1.4</v>
      </c>
      <c r="O11" s="227"/>
      <c r="P11" s="224">
        <v>0.7</v>
      </c>
      <c r="Q11" s="228">
        <f>Übersicht!$C$12</f>
        <v>0</v>
      </c>
      <c r="R11" s="229">
        <f>(C11*D11+E11*F11+G11*H11+I11*J11+K11*L11+M11*N11+O11*P11)*Q11</f>
        <v>0</v>
      </c>
      <c r="S11" s="416" t="s">
        <v>6</v>
      </c>
    </row>
    <row r="12" spans="1:20" ht="28.35" customHeight="1" x14ac:dyDescent="0.2">
      <c r="A12" s="230" t="s">
        <v>119</v>
      </c>
      <c r="B12" s="231" t="s">
        <v>118</v>
      </c>
      <c r="C12" s="221"/>
      <c r="D12" s="222">
        <v>1.9</v>
      </c>
      <c r="E12" s="223">
        <v>0</v>
      </c>
      <c r="F12" s="224">
        <v>1.7</v>
      </c>
      <c r="G12" s="223"/>
      <c r="H12" s="225">
        <v>1</v>
      </c>
      <c r="I12" s="223">
        <v>0</v>
      </c>
      <c r="J12" s="224">
        <v>1.7</v>
      </c>
      <c r="K12" s="221">
        <v>0</v>
      </c>
      <c r="L12" s="226">
        <v>1.5</v>
      </c>
      <c r="M12" s="221"/>
      <c r="N12" s="224">
        <v>1</v>
      </c>
      <c r="O12" s="227"/>
      <c r="P12" s="224">
        <v>0.7</v>
      </c>
      <c r="Q12" s="232">
        <f>Übersicht!$C$12</f>
        <v>0</v>
      </c>
      <c r="R12" s="233">
        <f>(C12*D12+E12*F12+G12*H12+I12*J12+K12*L12+M12*N12+O12*P12)*Q12</f>
        <v>0</v>
      </c>
      <c r="S12" s="416"/>
    </row>
    <row r="13" spans="1:20" ht="28.35" customHeight="1" x14ac:dyDescent="0.2">
      <c r="A13" s="230" t="s">
        <v>120</v>
      </c>
      <c r="B13" s="231" t="s">
        <v>118</v>
      </c>
      <c r="C13" s="221"/>
      <c r="D13" s="222">
        <v>1.9</v>
      </c>
      <c r="E13" s="223">
        <v>0</v>
      </c>
      <c r="F13" s="224">
        <v>1.7</v>
      </c>
      <c r="G13" s="223"/>
      <c r="H13" s="225">
        <v>1</v>
      </c>
      <c r="I13" s="223"/>
      <c r="J13" s="225">
        <v>1.7</v>
      </c>
      <c r="K13" s="221">
        <v>0</v>
      </c>
      <c r="L13" s="226">
        <v>1.5</v>
      </c>
      <c r="M13" s="221"/>
      <c r="N13" s="224">
        <v>1</v>
      </c>
      <c r="O13" s="227"/>
      <c r="P13" s="225">
        <v>0.6</v>
      </c>
      <c r="Q13" s="234">
        <f>Übersicht!$C$12</f>
        <v>0</v>
      </c>
      <c r="R13" s="233">
        <f>(C13*D13+E13*F13+G13*H13+I13*J13+K13*L13+M13*N13+O13*P13)*Q13</f>
        <v>0</v>
      </c>
      <c r="S13" s="416"/>
    </row>
    <row r="14" spans="1:20" ht="28.35" customHeight="1" thickBot="1" x14ac:dyDescent="0.25">
      <c r="A14" s="230" t="s">
        <v>121</v>
      </c>
      <c r="B14" s="235" t="s">
        <v>118</v>
      </c>
      <c r="C14" s="236"/>
      <c r="D14" s="222">
        <v>1.6</v>
      </c>
      <c r="E14" s="223">
        <v>0</v>
      </c>
      <c r="F14" s="225">
        <v>1.4</v>
      </c>
      <c r="G14" s="223"/>
      <c r="H14" s="225">
        <v>0.8</v>
      </c>
      <c r="I14" s="223"/>
      <c r="J14" s="225">
        <v>1.4</v>
      </c>
      <c r="K14" s="236"/>
      <c r="L14" s="226">
        <v>1.2</v>
      </c>
      <c r="M14" s="221"/>
      <c r="N14" s="225">
        <v>0.8</v>
      </c>
      <c r="O14" s="237"/>
      <c r="P14" s="225">
        <v>0.5</v>
      </c>
      <c r="Q14" s="234">
        <f>Übersicht!$C$12</f>
        <v>0</v>
      </c>
      <c r="R14" s="233">
        <f>(C14*D14+E14*F14+G14*H14+I14*J14+K14*L14+M14*N14+O14*P14)*Q14</f>
        <v>0</v>
      </c>
    </row>
    <row r="15" spans="1:20" ht="18" customHeight="1" thickBot="1" x14ac:dyDescent="0.25">
      <c r="A15" s="646" t="s">
        <v>122</v>
      </c>
      <c r="B15" s="589"/>
      <c r="C15" s="589"/>
      <c r="D15" s="589"/>
      <c r="E15" s="589"/>
      <c r="F15" s="589"/>
      <c r="G15" s="589"/>
      <c r="H15" s="589"/>
      <c r="I15" s="589"/>
      <c r="J15" s="589"/>
      <c r="K15" s="589"/>
      <c r="L15" s="589"/>
      <c r="M15" s="589"/>
      <c r="N15" s="589"/>
      <c r="O15" s="589"/>
      <c r="P15" s="589"/>
      <c r="Q15" s="590"/>
      <c r="R15" s="499">
        <f>SUM(R11:R14)</f>
        <v>0</v>
      </c>
    </row>
    <row r="16" spans="1:20" ht="24" customHeight="1" x14ac:dyDescent="0.2">
      <c r="A16" s="643" t="s">
        <v>123</v>
      </c>
      <c r="B16" s="643" t="s">
        <v>124</v>
      </c>
      <c r="C16" s="596"/>
      <c r="D16" s="596"/>
      <c r="E16" s="596"/>
      <c r="F16" s="596"/>
      <c r="G16" s="596"/>
      <c r="H16" s="596"/>
      <c r="I16" s="597"/>
      <c r="J16" s="641">
        <v>450</v>
      </c>
      <c r="K16" s="596"/>
      <c r="L16" s="597"/>
      <c r="M16" s="648" t="s">
        <v>125</v>
      </c>
      <c r="N16" s="599"/>
      <c r="O16" s="599"/>
      <c r="P16" s="599"/>
      <c r="Q16" s="599"/>
      <c r="R16" s="599"/>
    </row>
    <row r="17" spans="1:18" ht="24.75" customHeight="1" x14ac:dyDescent="0.2">
      <c r="A17" s="649"/>
      <c r="B17" s="640" t="s">
        <v>126</v>
      </c>
      <c r="C17" s="564"/>
      <c r="D17" s="564"/>
      <c r="E17" s="564"/>
      <c r="F17" s="564"/>
      <c r="G17" s="564"/>
      <c r="H17" s="564"/>
      <c r="I17" s="565"/>
      <c r="J17" s="635">
        <v>500</v>
      </c>
      <c r="K17" s="564"/>
      <c r="L17" s="565"/>
      <c r="M17" s="453"/>
      <c r="N17" s="453"/>
      <c r="O17" s="355"/>
      <c r="P17" s="355"/>
      <c r="Q17" s="98"/>
      <c r="R17" s="98"/>
    </row>
    <row r="18" spans="1:18" ht="12.75" customHeight="1" x14ac:dyDescent="0.2">
      <c r="A18" s="650"/>
      <c r="B18" s="640" t="s">
        <v>127</v>
      </c>
      <c r="C18" s="564"/>
      <c r="D18" s="564"/>
      <c r="E18" s="564"/>
      <c r="F18" s="564"/>
      <c r="G18" s="564"/>
      <c r="H18" s="564"/>
      <c r="I18" s="565"/>
      <c r="J18" s="635">
        <v>800</v>
      </c>
      <c r="K18" s="564"/>
      <c r="L18" s="565"/>
      <c r="M18" s="453"/>
      <c r="N18" s="453"/>
      <c r="O18" s="99"/>
      <c r="P18" s="99"/>
      <c r="Q18" s="98"/>
      <c r="R18" s="98"/>
    </row>
    <row r="19" spans="1:18" x14ac:dyDescent="0.2">
      <c r="A19" s="90" t="s">
        <v>128</v>
      </c>
      <c r="B19" s="90"/>
      <c r="C19" s="111"/>
      <c r="D19" s="111"/>
      <c r="E19" s="111"/>
      <c r="F19" s="111"/>
      <c r="G19" s="453"/>
      <c r="H19" s="453"/>
      <c r="I19" s="453"/>
      <c r="J19" s="453"/>
      <c r="K19" s="453"/>
      <c r="L19" s="111"/>
      <c r="M19" s="111"/>
      <c r="N19" s="453"/>
      <c r="O19" s="116"/>
      <c r="P19" s="116"/>
      <c r="Q19" s="453"/>
      <c r="R19" s="453"/>
    </row>
    <row r="20" spans="1:18" x14ac:dyDescent="0.2">
      <c r="A20" s="90" t="s">
        <v>129</v>
      </c>
      <c r="B20" s="90"/>
      <c r="C20" s="112"/>
      <c r="D20" s="112"/>
      <c r="E20" s="112"/>
      <c r="F20" s="112"/>
      <c r="G20" s="112"/>
      <c r="H20" s="112"/>
      <c r="I20" s="112"/>
      <c r="J20" s="112"/>
      <c r="K20" s="112"/>
      <c r="L20" s="112"/>
      <c r="M20" s="112"/>
      <c r="N20" s="112"/>
      <c r="O20" s="116"/>
      <c r="P20" s="116"/>
      <c r="Q20" s="453"/>
      <c r="R20" s="453"/>
    </row>
    <row r="21" spans="1:18" x14ac:dyDescent="0.2">
      <c r="A21" s="90" t="s">
        <v>130</v>
      </c>
      <c r="B21" s="90"/>
      <c r="C21" s="112"/>
      <c r="D21" s="112"/>
      <c r="E21" s="112"/>
      <c r="F21" s="112"/>
      <c r="G21" s="112"/>
      <c r="H21" s="112"/>
      <c r="I21" s="112"/>
      <c r="J21" s="112"/>
      <c r="K21" s="112"/>
      <c r="L21" s="112"/>
      <c r="M21" s="112"/>
      <c r="N21" s="112"/>
      <c r="O21" s="116"/>
      <c r="P21" s="116"/>
      <c r="Q21" s="453"/>
      <c r="R21" s="453"/>
    </row>
    <row r="22" spans="1:18" x14ac:dyDescent="0.2">
      <c r="A22" s="90" t="s">
        <v>131</v>
      </c>
      <c r="B22" s="90"/>
      <c r="C22" s="112"/>
      <c r="D22" s="112"/>
      <c r="E22" s="112"/>
      <c r="F22" s="112"/>
      <c r="G22" s="112"/>
      <c r="H22" s="112"/>
      <c r="I22" s="112"/>
      <c r="J22" s="112"/>
      <c r="K22" s="112"/>
      <c r="L22" s="112"/>
      <c r="M22" s="112"/>
      <c r="N22" s="112"/>
      <c r="O22" s="116"/>
      <c r="P22" s="116"/>
      <c r="Q22" s="453"/>
      <c r="R22" s="453"/>
    </row>
    <row r="23" spans="1:18" x14ac:dyDescent="0.2">
      <c r="A23" s="445"/>
      <c r="B23" s="445"/>
      <c r="C23" s="433"/>
      <c r="D23" s="433"/>
      <c r="E23" s="433"/>
      <c r="F23" s="433"/>
      <c r="G23" s="433"/>
      <c r="H23" s="433"/>
      <c r="I23" s="433"/>
      <c r="J23" s="433"/>
      <c r="K23" s="433"/>
      <c r="L23" s="433"/>
      <c r="M23" s="433"/>
      <c r="N23" s="433"/>
      <c r="O23" s="405"/>
      <c r="P23" s="405"/>
    </row>
    <row r="24" spans="1:18" x14ac:dyDescent="0.2">
      <c r="A24" s="445"/>
      <c r="B24" s="445"/>
      <c r="C24" s="426"/>
      <c r="D24" s="426"/>
      <c r="E24" s="426"/>
      <c r="F24" s="426"/>
      <c r="G24" s="426"/>
      <c r="H24" s="426"/>
      <c r="I24" s="426"/>
      <c r="J24" s="426"/>
      <c r="K24" s="426"/>
      <c r="L24" s="426"/>
      <c r="M24" s="426"/>
      <c r="N24" s="426"/>
      <c r="O24" s="405"/>
      <c r="P24" s="405"/>
    </row>
    <row r="25" spans="1:18" x14ac:dyDescent="0.2">
      <c r="A25" s="445"/>
      <c r="B25" s="445"/>
      <c r="C25" s="433"/>
      <c r="D25" s="433"/>
      <c r="E25" s="433"/>
      <c r="F25" s="433"/>
      <c r="G25" s="433"/>
      <c r="H25" s="433"/>
      <c r="I25" s="433"/>
      <c r="J25" s="433"/>
      <c r="K25" s="433"/>
      <c r="L25" s="433"/>
      <c r="M25" s="433"/>
      <c r="N25" s="433"/>
      <c r="O25" s="435"/>
      <c r="P25" s="435"/>
    </row>
    <row r="26" spans="1:18" x14ac:dyDescent="0.2">
      <c r="A26" s="445"/>
      <c r="B26" s="445"/>
      <c r="C26" s="433"/>
      <c r="D26" s="433"/>
      <c r="E26" s="433"/>
      <c r="F26" s="433"/>
      <c r="G26" s="433"/>
      <c r="H26" s="433"/>
      <c r="I26" s="433"/>
      <c r="J26" s="433"/>
      <c r="K26" s="433"/>
      <c r="L26" s="433"/>
      <c r="M26" s="433"/>
      <c r="N26" s="433"/>
      <c r="O26" s="435"/>
      <c r="P26" s="435"/>
    </row>
    <row r="27" spans="1:18" x14ac:dyDescent="0.2">
      <c r="A27" s="445"/>
      <c r="B27" s="445"/>
      <c r="C27" s="433"/>
      <c r="D27" s="433"/>
      <c r="E27" s="433"/>
      <c r="F27" s="433"/>
      <c r="G27" s="433"/>
      <c r="H27" s="433"/>
      <c r="I27" s="433"/>
      <c r="J27" s="433"/>
      <c r="K27" s="433"/>
      <c r="L27" s="433"/>
      <c r="M27" s="433"/>
      <c r="N27" s="433"/>
      <c r="O27" s="435"/>
      <c r="P27" s="435"/>
    </row>
    <row r="28" spans="1:18" x14ac:dyDescent="0.2">
      <c r="A28" s="445"/>
      <c r="B28" s="445"/>
      <c r="C28" s="433"/>
      <c r="D28" s="433"/>
      <c r="E28" s="433"/>
      <c r="F28" s="433"/>
      <c r="G28" s="433"/>
      <c r="H28" s="433"/>
      <c r="I28" s="433"/>
      <c r="J28" s="433"/>
      <c r="K28" s="433"/>
      <c r="L28" s="433"/>
      <c r="M28" s="433"/>
      <c r="N28" s="433"/>
      <c r="O28" s="435"/>
      <c r="P28" s="435"/>
    </row>
    <row r="29" spans="1:18" x14ac:dyDescent="0.2">
      <c r="A29" s="445"/>
      <c r="B29" s="445"/>
      <c r="C29" s="433"/>
      <c r="D29" s="433"/>
      <c r="E29" s="433"/>
      <c r="F29" s="433"/>
      <c r="G29" s="433"/>
      <c r="H29" s="433"/>
      <c r="I29" s="433"/>
      <c r="J29" s="433"/>
      <c r="K29" s="433"/>
      <c r="L29" s="433"/>
      <c r="M29" s="433"/>
      <c r="N29" s="433"/>
      <c r="O29" s="435"/>
      <c r="P29" s="435"/>
    </row>
    <row r="30" spans="1:18" x14ac:dyDescent="0.2">
      <c r="A30" s="445"/>
      <c r="B30" s="445"/>
      <c r="C30" s="433"/>
      <c r="D30" s="433"/>
      <c r="E30" s="433"/>
      <c r="F30" s="433"/>
      <c r="G30" s="433"/>
      <c r="H30" s="433"/>
      <c r="I30" s="433"/>
      <c r="J30" s="433"/>
      <c r="K30" s="433"/>
      <c r="L30" s="433"/>
      <c r="M30" s="433"/>
      <c r="N30" s="433"/>
      <c r="O30" s="435"/>
      <c r="P30" s="435"/>
    </row>
    <row r="31" spans="1:18" x14ac:dyDescent="0.2">
      <c r="A31" s="445"/>
      <c r="B31" s="445"/>
      <c r="C31" s="433"/>
      <c r="D31" s="433"/>
      <c r="E31" s="433"/>
      <c r="F31" s="433"/>
      <c r="G31" s="433"/>
      <c r="H31" s="433"/>
      <c r="I31" s="433"/>
      <c r="J31" s="433"/>
      <c r="K31" s="433"/>
      <c r="L31" s="433"/>
      <c r="M31" s="433"/>
      <c r="N31" s="433"/>
      <c r="O31" s="435"/>
      <c r="P31" s="435"/>
    </row>
    <row r="32" spans="1:18" x14ac:dyDescent="0.2">
      <c r="A32" s="445"/>
      <c r="B32" s="445"/>
      <c r="C32" s="433"/>
      <c r="D32" s="433"/>
      <c r="E32" s="433"/>
      <c r="F32" s="433"/>
      <c r="G32" s="433"/>
      <c r="H32" s="433"/>
      <c r="I32" s="433"/>
      <c r="J32" s="433"/>
      <c r="K32" s="433"/>
      <c r="L32" s="433"/>
      <c r="M32" s="433"/>
      <c r="N32" s="433"/>
      <c r="O32" s="435"/>
      <c r="P32" s="435"/>
    </row>
    <row r="33" spans="1:16" x14ac:dyDescent="0.2">
      <c r="A33" s="445"/>
      <c r="B33" s="445"/>
      <c r="C33" s="433"/>
      <c r="D33" s="433"/>
      <c r="E33" s="433"/>
      <c r="F33" s="433"/>
      <c r="G33" s="433"/>
      <c r="H33" s="433"/>
      <c r="I33" s="433"/>
      <c r="J33" s="433"/>
      <c r="K33" s="433"/>
      <c r="L33" s="433"/>
      <c r="M33" s="433"/>
      <c r="N33" s="433"/>
      <c r="O33" s="435"/>
      <c r="P33" s="435"/>
    </row>
    <row r="34" spans="1:16" x14ac:dyDescent="0.2">
      <c r="A34" s="445"/>
      <c r="B34" s="445"/>
      <c r="C34" s="433"/>
      <c r="D34" s="433"/>
      <c r="E34" s="433"/>
      <c r="F34" s="433"/>
      <c r="G34" s="433"/>
      <c r="H34" s="433"/>
      <c r="I34" s="433"/>
      <c r="J34" s="433"/>
      <c r="K34" s="433"/>
      <c r="L34" s="433"/>
      <c r="M34" s="433"/>
      <c r="N34" s="433"/>
      <c r="O34" s="435"/>
      <c r="P34" s="435"/>
    </row>
    <row r="35" spans="1:16" x14ac:dyDescent="0.2">
      <c r="A35" s="445"/>
      <c r="B35" s="445"/>
      <c r="C35" s="433"/>
      <c r="D35" s="433"/>
      <c r="E35" s="433"/>
      <c r="F35" s="433"/>
      <c r="G35" s="433"/>
      <c r="H35" s="433"/>
      <c r="I35" s="433"/>
      <c r="J35" s="433"/>
      <c r="K35" s="433"/>
      <c r="L35" s="433"/>
      <c r="M35" s="433"/>
      <c r="N35" s="433"/>
      <c r="O35" s="435"/>
      <c r="P35" s="435"/>
    </row>
    <row r="36" spans="1:16" x14ac:dyDescent="0.2">
      <c r="A36" s="445"/>
      <c r="B36" s="445"/>
      <c r="C36" s="433"/>
      <c r="D36" s="433"/>
      <c r="E36" s="433"/>
      <c r="F36" s="433"/>
      <c r="G36" s="433"/>
      <c r="H36" s="433"/>
      <c r="I36" s="433"/>
      <c r="J36" s="433"/>
      <c r="K36" s="433"/>
      <c r="L36" s="433"/>
      <c r="M36" s="433"/>
      <c r="N36" s="433"/>
      <c r="O36" s="435"/>
      <c r="P36" s="435"/>
    </row>
    <row r="37" spans="1:16" x14ac:dyDescent="0.2">
      <c r="A37" s="445"/>
      <c r="B37" s="445"/>
      <c r="C37" s="433"/>
      <c r="D37" s="433"/>
      <c r="E37" s="433"/>
      <c r="F37" s="433"/>
      <c r="G37" s="433"/>
      <c r="H37" s="433"/>
      <c r="I37" s="433"/>
      <c r="J37" s="433"/>
      <c r="K37" s="433"/>
      <c r="L37" s="433"/>
      <c r="M37" s="433"/>
      <c r="N37" s="433"/>
      <c r="O37" s="435"/>
      <c r="P37" s="435"/>
    </row>
    <row r="38" spans="1:16" x14ac:dyDescent="0.2">
      <c r="A38" s="445"/>
      <c r="B38" s="445"/>
      <c r="C38" s="433"/>
      <c r="D38" s="433"/>
      <c r="E38" s="433"/>
      <c r="F38" s="433"/>
      <c r="G38" s="433"/>
      <c r="H38" s="433"/>
      <c r="I38" s="433"/>
      <c r="J38" s="433"/>
      <c r="K38" s="433"/>
      <c r="L38" s="433"/>
      <c r="M38" s="433"/>
      <c r="N38" s="433"/>
      <c r="O38" s="435"/>
      <c r="P38" s="435"/>
    </row>
    <row r="39" spans="1:16" x14ac:dyDescent="0.2">
      <c r="A39" s="445"/>
      <c r="B39" s="445"/>
      <c r="C39" s="433"/>
      <c r="D39" s="433"/>
      <c r="E39" s="433"/>
      <c r="F39" s="433"/>
      <c r="G39" s="433"/>
      <c r="H39" s="433"/>
      <c r="I39" s="433"/>
      <c r="J39" s="433"/>
      <c r="K39" s="433"/>
      <c r="L39" s="433"/>
      <c r="M39" s="433"/>
      <c r="N39" s="433"/>
      <c r="O39" s="435"/>
      <c r="P39" s="435"/>
    </row>
    <row r="40" spans="1:16" x14ac:dyDescent="0.2">
      <c r="A40" s="445"/>
      <c r="B40" s="445"/>
      <c r="C40" s="433"/>
      <c r="D40" s="433"/>
      <c r="E40" s="433"/>
      <c r="F40" s="433"/>
      <c r="G40" s="433"/>
      <c r="H40" s="433"/>
      <c r="I40" s="433"/>
      <c r="J40" s="433"/>
      <c r="K40" s="433"/>
      <c r="L40" s="433"/>
      <c r="M40" s="433"/>
      <c r="N40" s="433"/>
      <c r="O40" s="435"/>
      <c r="P40" s="435"/>
    </row>
    <row r="41" spans="1:16" x14ac:dyDescent="0.2">
      <c r="A41" s="445"/>
      <c r="B41" s="445"/>
      <c r="C41" s="433"/>
      <c r="D41" s="433"/>
      <c r="E41" s="433"/>
      <c r="F41" s="433"/>
      <c r="G41" s="433"/>
      <c r="H41" s="433"/>
      <c r="I41" s="433"/>
      <c r="J41" s="433"/>
      <c r="K41" s="433"/>
      <c r="L41" s="433"/>
      <c r="M41" s="433"/>
      <c r="N41" s="433"/>
      <c r="O41" s="435"/>
      <c r="P41" s="435"/>
    </row>
    <row r="42" spans="1:16" x14ac:dyDescent="0.2">
      <c r="A42" s="445"/>
      <c r="B42" s="445"/>
      <c r="C42" s="433"/>
      <c r="D42" s="433"/>
      <c r="E42" s="433"/>
      <c r="F42" s="433"/>
      <c r="G42" s="433"/>
      <c r="H42" s="433"/>
      <c r="I42" s="433"/>
      <c r="J42" s="433"/>
      <c r="K42" s="433"/>
      <c r="L42" s="433"/>
      <c r="M42" s="433"/>
      <c r="N42" s="433"/>
      <c r="O42" s="435"/>
      <c r="P42" s="435"/>
    </row>
    <row r="43" spans="1:16" x14ac:dyDescent="0.2">
      <c r="A43" s="445"/>
      <c r="B43" s="445"/>
      <c r="C43" s="433"/>
      <c r="D43" s="433"/>
      <c r="E43" s="433"/>
      <c r="F43" s="433"/>
      <c r="G43" s="433"/>
      <c r="H43" s="433"/>
      <c r="I43" s="433"/>
      <c r="J43" s="433"/>
      <c r="K43" s="433"/>
      <c r="L43" s="433"/>
      <c r="M43" s="433"/>
      <c r="N43" s="433"/>
      <c r="O43" s="435"/>
      <c r="P43" s="435"/>
    </row>
    <row r="44" spans="1:16" x14ac:dyDescent="0.2">
      <c r="A44" s="445"/>
      <c r="B44" s="445"/>
      <c r="C44" s="441"/>
      <c r="D44" s="441"/>
      <c r="E44" s="441"/>
      <c r="F44" s="441"/>
      <c r="G44" s="441"/>
      <c r="H44" s="441"/>
      <c r="I44" s="441"/>
      <c r="J44" s="441"/>
      <c r="K44" s="441"/>
      <c r="L44" s="441"/>
      <c r="M44" s="441"/>
      <c r="N44" s="441"/>
      <c r="O44" s="435"/>
      <c r="P44" s="435"/>
    </row>
    <row r="45" spans="1:16" x14ac:dyDescent="0.2">
      <c r="A45" s="445"/>
      <c r="B45" s="445"/>
      <c r="C45" s="433"/>
      <c r="D45" s="433"/>
      <c r="E45" s="433"/>
      <c r="F45" s="433"/>
      <c r="G45" s="433"/>
      <c r="H45" s="433"/>
      <c r="I45" s="433"/>
      <c r="J45" s="433"/>
      <c r="K45" s="433"/>
      <c r="L45" s="433"/>
      <c r="M45" s="433"/>
      <c r="N45" s="433"/>
      <c r="O45" s="435"/>
      <c r="P45" s="435"/>
    </row>
    <row r="46" spans="1:16" x14ac:dyDescent="0.2">
      <c r="A46" s="445"/>
      <c r="B46" s="445"/>
      <c r="C46" s="426"/>
      <c r="D46" s="426"/>
      <c r="E46" s="426"/>
      <c r="F46" s="426"/>
      <c r="G46" s="426"/>
      <c r="H46" s="426"/>
      <c r="I46" s="426"/>
      <c r="J46" s="426"/>
      <c r="K46" s="426"/>
      <c r="L46" s="426"/>
      <c r="M46" s="426"/>
      <c r="N46" s="426"/>
      <c r="O46" s="435"/>
      <c r="P46" s="435"/>
    </row>
    <row r="47" spans="1:16" x14ac:dyDescent="0.2">
      <c r="A47" s="445"/>
      <c r="B47" s="445"/>
      <c r="C47" s="433"/>
      <c r="D47" s="433"/>
      <c r="E47" s="433"/>
      <c r="F47" s="433"/>
      <c r="G47" s="433"/>
      <c r="H47" s="433"/>
      <c r="I47" s="433"/>
      <c r="J47" s="433"/>
      <c r="K47" s="433"/>
      <c r="L47" s="433"/>
      <c r="M47" s="433"/>
      <c r="N47" s="433"/>
      <c r="O47" s="435"/>
      <c r="P47" s="435"/>
    </row>
    <row r="48" spans="1:16" x14ac:dyDescent="0.2">
      <c r="A48" s="445"/>
      <c r="B48" s="445"/>
      <c r="C48" s="441"/>
      <c r="D48" s="441"/>
      <c r="E48" s="441"/>
      <c r="F48" s="441"/>
      <c r="G48" s="441"/>
      <c r="H48" s="441"/>
      <c r="I48" s="441"/>
      <c r="J48" s="441"/>
      <c r="K48" s="441"/>
      <c r="L48" s="441"/>
      <c r="M48" s="441"/>
      <c r="N48" s="441"/>
      <c r="O48" s="435"/>
      <c r="P48" s="435"/>
    </row>
    <row r="49" spans="1:16" x14ac:dyDescent="0.2">
      <c r="A49" s="445"/>
      <c r="B49" s="445"/>
      <c r="C49" s="441"/>
      <c r="D49" s="441"/>
      <c r="E49" s="441"/>
      <c r="F49" s="441"/>
      <c r="G49" s="441"/>
      <c r="H49" s="441"/>
      <c r="I49" s="441"/>
      <c r="J49" s="441"/>
      <c r="K49" s="441"/>
      <c r="L49" s="441"/>
      <c r="M49" s="441"/>
      <c r="N49" s="441"/>
      <c r="O49" s="435"/>
      <c r="P49" s="435"/>
    </row>
    <row r="50" spans="1:16" x14ac:dyDescent="0.2">
      <c r="A50" s="445"/>
      <c r="B50" s="445"/>
      <c r="C50" s="429"/>
      <c r="D50" s="429"/>
      <c r="E50" s="429"/>
      <c r="F50" s="429"/>
      <c r="G50" s="429"/>
      <c r="H50" s="429"/>
      <c r="I50" s="429"/>
      <c r="J50" s="429"/>
      <c r="K50" s="429"/>
      <c r="L50" s="429"/>
      <c r="M50" s="429"/>
      <c r="N50" s="429"/>
      <c r="O50" s="435"/>
      <c r="P50" s="435"/>
    </row>
    <row r="51" spans="1:16" x14ac:dyDescent="0.2">
      <c r="A51" s="445"/>
      <c r="B51" s="445"/>
      <c r="O51" s="435"/>
      <c r="P51" s="435"/>
    </row>
    <row r="52" spans="1:16" x14ac:dyDescent="0.2">
      <c r="A52" s="445"/>
      <c r="B52" s="445"/>
      <c r="C52" s="433"/>
      <c r="D52" s="433"/>
      <c r="E52" s="433"/>
      <c r="F52" s="433"/>
      <c r="G52" s="433"/>
      <c r="H52" s="433"/>
      <c r="I52" s="433"/>
      <c r="J52" s="433"/>
      <c r="K52" s="433"/>
      <c r="L52" s="433"/>
      <c r="M52" s="433"/>
      <c r="N52" s="433"/>
      <c r="O52" s="435"/>
      <c r="P52" s="435"/>
    </row>
    <row r="53" spans="1:16" x14ac:dyDescent="0.2">
      <c r="A53" s="440"/>
      <c r="B53" s="440"/>
      <c r="C53" s="441"/>
      <c r="D53" s="441"/>
      <c r="E53" s="441"/>
      <c r="F53" s="441"/>
      <c r="G53" s="441"/>
      <c r="H53" s="441"/>
      <c r="I53" s="441"/>
      <c r="J53" s="441"/>
      <c r="K53" s="441"/>
      <c r="L53" s="441"/>
      <c r="M53" s="441"/>
      <c r="N53" s="441"/>
      <c r="O53" s="435"/>
      <c r="P53" s="435"/>
    </row>
    <row r="54" spans="1:16" x14ac:dyDescent="0.2">
      <c r="A54" s="445"/>
      <c r="B54" s="445"/>
      <c r="C54" s="433"/>
      <c r="D54" s="433"/>
      <c r="E54" s="433"/>
      <c r="F54" s="433"/>
      <c r="G54" s="433"/>
      <c r="H54" s="433"/>
      <c r="I54" s="433"/>
      <c r="J54" s="433"/>
      <c r="K54" s="433"/>
      <c r="L54" s="433"/>
      <c r="M54" s="433"/>
      <c r="N54" s="433"/>
      <c r="O54" s="435"/>
      <c r="P54" s="435"/>
    </row>
    <row r="55" spans="1:16" x14ac:dyDescent="0.2">
      <c r="A55" s="442"/>
      <c r="B55" s="442"/>
      <c r="C55" s="433"/>
      <c r="D55" s="433"/>
      <c r="E55" s="433"/>
      <c r="F55" s="433"/>
      <c r="G55" s="433"/>
      <c r="H55" s="433"/>
      <c r="I55" s="433"/>
      <c r="J55" s="433"/>
      <c r="K55" s="433"/>
      <c r="L55" s="433"/>
      <c r="M55" s="433"/>
      <c r="N55" s="433"/>
      <c r="O55" s="435"/>
      <c r="P55" s="435"/>
    </row>
    <row r="56" spans="1:16" x14ac:dyDescent="0.2">
      <c r="A56" s="442"/>
      <c r="B56" s="442"/>
      <c r="C56" s="433"/>
      <c r="D56" s="433"/>
      <c r="E56" s="433"/>
      <c r="F56" s="433"/>
      <c r="G56" s="433"/>
      <c r="H56" s="433"/>
      <c r="I56" s="433"/>
      <c r="J56" s="433"/>
      <c r="K56" s="433"/>
      <c r="L56" s="433"/>
      <c r="M56" s="433"/>
      <c r="N56" s="433"/>
      <c r="O56" s="435"/>
      <c r="P56" s="435"/>
    </row>
    <row r="57" spans="1:16" x14ac:dyDescent="0.2">
      <c r="A57" s="442"/>
      <c r="B57" s="442"/>
      <c r="C57" s="433"/>
      <c r="D57" s="433"/>
      <c r="E57" s="433"/>
      <c r="F57" s="433"/>
      <c r="G57" s="433"/>
      <c r="H57" s="433"/>
      <c r="I57" s="433"/>
      <c r="J57" s="433"/>
      <c r="K57" s="433"/>
      <c r="L57" s="433"/>
      <c r="M57" s="433"/>
      <c r="N57" s="433"/>
      <c r="O57" s="435"/>
      <c r="P57" s="435"/>
    </row>
    <row r="58" spans="1:16" x14ac:dyDescent="0.2">
      <c r="A58" s="442"/>
      <c r="B58" s="442"/>
      <c r="C58" s="433"/>
      <c r="D58" s="433"/>
      <c r="E58" s="433"/>
      <c r="F58" s="433"/>
      <c r="G58" s="433"/>
      <c r="H58" s="433"/>
      <c r="I58" s="433"/>
      <c r="J58" s="433"/>
      <c r="K58" s="433"/>
      <c r="L58" s="433"/>
      <c r="M58" s="433"/>
      <c r="N58" s="433"/>
      <c r="O58" s="436"/>
      <c r="P58" s="436"/>
    </row>
    <row r="59" spans="1:16" x14ac:dyDescent="0.2">
      <c r="A59" s="445"/>
      <c r="B59" s="445"/>
      <c r="C59" s="433"/>
      <c r="D59" s="433"/>
      <c r="E59" s="433"/>
      <c r="F59" s="433"/>
      <c r="G59" s="433"/>
      <c r="H59" s="433"/>
      <c r="I59" s="433"/>
      <c r="J59" s="433"/>
      <c r="K59" s="433"/>
      <c r="L59" s="433"/>
      <c r="M59" s="433"/>
      <c r="N59" s="433"/>
      <c r="O59" s="436"/>
      <c r="P59" s="436"/>
    </row>
    <row r="60" spans="1:16" x14ac:dyDescent="0.2">
      <c r="A60" s="445"/>
      <c r="B60" s="445"/>
      <c r="C60" s="433"/>
      <c r="D60" s="433"/>
      <c r="E60" s="433"/>
      <c r="F60" s="433"/>
      <c r="G60" s="433"/>
      <c r="H60" s="433"/>
      <c r="I60" s="433"/>
      <c r="J60" s="433"/>
      <c r="K60" s="433"/>
      <c r="L60" s="433"/>
      <c r="M60" s="433"/>
      <c r="N60" s="433"/>
      <c r="O60" s="437"/>
      <c r="P60" s="437"/>
    </row>
    <row r="61" spans="1:16" x14ac:dyDescent="0.2">
      <c r="A61" s="446"/>
      <c r="B61" s="446"/>
      <c r="C61" s="438"/>
      <c r="D61" s="438"/>
      <c r="E61" s="438"/>
      <c r="F61" s="438"/>
      <c r="G61" s="438"/>
      <c r="H61" s="438"/>
      <c r="I61" s="438"/>
      <c r="J61" s="438"/>
      <c r="K61" s="438"/>
      <c r="L61" s="438"/>
      <c r="M61" s="438"/>
      <c r="N61" s="438"/>
      <c r="O61" s="439"/>
      <c r="P61" s="439"/>
    </row>
    <row r="62" spans="1:16" x14ac:dyDescent="0.2">
      <c r="A62" s="448"/>
      <c r="B62" s="448"/>
      <c r="C62" s="439"/>
      <c r="D62" s="439"/>
      <c r="E62" s="439"/>
      <c r="F62" s="439"/>
      <c r="G62" s="439"/>
      <c r="H62" s="439"/>
      <c r="I62" s="439"/>
      <c r="J62" s="439"/>
      <c r="K62" s="439"/>
      <c r="L62" s="439"/>
      <c r="M62" s="439"/>
      <c r="N62" s="439"/>
      <c r="O62" s="439"/>
      <c r="P62" s="439"/>
    </row>
    <row r="63" spans="1:16" x14ac:dyDescent="0.2">
      <c r="A63" s="448"/>
      <c r="B63" s="448"/>
      <c r="C63" s="439"/>
      <c r="D63" s="439"/>
      <c r="E63" s="439"/>
      <c r="F63" s="439"/>
      <c r="G63" s="439"/>
      <c r="H63" s="439"/>
      <c r="I63" s="439"/>
      <c r="J63" s="439"/>
      <c r="K63" s="439"/>
      <c r="L63" s="439"/>
      <c r="M63" s="439"/>
      <c r="N63" s="439"/>
      <c r="O63" s="439"/>
      <c r="P63" s="439"/>
    </row>
    <row r="64" spans="1:16" x14ac:dyDescent="0.2">
      <c r="A64" s="448"/>
      <c r="B64" s="448"/>
      <c r="C64" s="439"/>
      <c r="D64" s="439"/>
      <c r="E64" s="439"/>
      <c r="F64" s="439"/>
      <c r="G64" s="439"/>
      <c r="H64" s="439"/>
      <c r="I64" s="439"/>
      <c r="J64" s="439"/>
      <c r="K64" s="439"/>
      <c r="L64" s="439"/>
      <c r="M64" s="439"/>
      <c r="N64" s="439"/>
      <c r="O64" s="439"/>
      <c r="P64" s="439"/>
    </row>
    <row r="65" spans="1:16" x14ac:dyDescent="0.2">
      <c r="A65" s="448"/>
      <c r="B65" s="448"/>
      <c r="C65" s="439"/>
      <c r="D65" s="439"/>
      <c r="E65" s="439"/>
      <c r="F65" s="439"/>
      <c r="G65" s="439"/>
      <c r="H65" s="439"/>
      <c r="I65" s="439"/>
      <c r="J65" s="439"/>
      <c r="K65" s="439"/>
      <c r="L65" s="439"/>
      <c r="M65" s="439"/>
      <c r="N65" s="439"/>
      <c r="O65" s="439"/>
      <c r="P65" s="439"/>
    </row>
    <row r="66" spans="1:16" x14ac:dyDescent="0.2">
      <c r="A66" s="448"/>
      <c r="B66" s="448"/>
      <c r="C66" s="439"/>
      <c r="D66" s="439"/>
      <c r="E66" s="439"/>
      <c r="F66" s="439"/>
      <c r="G66" s="439"/>
      <c r="H66" s="439"/>
      <c r="I66" s="439"/>
      <c r="J66" s="439"/>
      <c r="K66" s="439"/>
      <c r="L66" s="439"/>
      <c r="M66" s="439"/>
      <c r="N66" s="439"/>
      <c r="O66" s="439"/>
      <c r="P66" s="439"/>
    </row>
    <row r="67" spans="1:16" x14ac:dyDescent="0.2">
      <c r="A67" s="448"/>
      <c r="B67" s="448"/>
      <c r="C67" s="439"/>
      <c r="D67" s="439"/>
      <c r="E67" s="439"/>
      <c r="F67" s="439"/>
      <c r="G67" s="439"/>
      <c r="H67" s="439"/>
      <c r="I67" s="439"/>
      <c r="J67" s="439"/>
      <c r="K67" s="439"/>
      <c r="L67" s="439"/>
      <c r="M67" s="439"/>
      <c r="N67" s="439"/>
      <c r="O67" s="439"/>
      <c r="P67" s="439"/>
    </row>
    <row r="68" spans="1:16" x14ac:dyDescent="0.2">
      <c r="A68" s="449"/>
      <c r="B68" s="449"/>
      <c r="C68" s="443"/>
      <c r="D68" s="443"/>
      <c r="E68" s="443"/>
      <c r="F68" s="443"/>
      <c r="G68" s="443"/>
      <c r="H68" s="443"/>
      <c r="I68" s="443"/>
      <c r="J68" s="443"/>
      <c r="K68" s="443"/>
      <c r="L68" s="443"/>
      <c r="M68" s="443"/>
      <c r="N68" s="443"/>
      <c r="O68" s="444"/>
      <c r="P68" s="444"/>
    </row>
    <row r="69" spans="1:16" x14ac:dyDescent="0.2">
      <c r="A69" s="451"/>
      <c r="B69" s="451"/>
      <c r="C69" s="443"/>
      <c r="D69" s="443"/>
      <c r="E69" s="443"/>
      <c r="F69" s="443"/>
      <c r="G69" s="443"/>
      <c r="H69" s="443"/>
      <c r="I69" s="443"/>
      <c r="J69" s="443"/>
      <c r="K69" s="443"/>
      <c r="L69" s="443"/>
      <c r="M69" s="443"/>
      <c r="N69" s="443"/>
      <c r="O69" s="444"/>
      <c r="P69" s="444"/>
    </row>
    <row r="70" spans="1:16" x14ac:dyDescent="0.2">
      <c r="A70" s="451"/>
      <c r="B70" s="451"/>
      <c r="C70" s="443"/>
      <c r="D70" s="443"/>
      <c r="E70" s="443"/>
      <c r="F70" s="443"/>
      <c r="G70" s="443"/>
      <c r="H70" s="443"/>
      <c r="I70" s="443"/>
      <c r="J70" s="443"/>
      <c r="K70" s="443"/>
      <c r="L70" s="443"/>
      <c r="M70" s="443"/>
      <c r="N70" s="443"/>
      <c r="O70" s="444"/>
      <c r="P70" s="444"/>
    </row>
  </sheetData>
  <mergeCells count="20">
    <mergeCell ref="R5:R10"/>
    <mergeCell ref="B16:I16"/>
    <mergeCell ref="C9:H9"/>
    <mergeCell ref="A15:Q15"/>
    <mergeCell ref="O9:P9"/>
    <mergeCell ref="M16:R16"/>
    <mergeCell ref="A16:A18"/>
    <mergeCell ref="C1:N2"/>
    <mergeCell ref="J18:L18"/>
    <mergeCell ref="I9:N9"/>
    <mergeCell ref="J17:L17"/>
    <mergeCell ref="O8:P8"/>
    <mergeCell ref="B6:O6"/>
    <mergeCell ref="A4:Q4"/>
    <mergeCell ref="B5:O5"/>
    <mergeCell ref="B18:I18"/>
    <mergeCell ref="J16:L16"/>
    <mergeCell ref="C8:N8"/>
    <mergeCell ref="Q5:Q10"/>
    <mergeCell ref="B17:I17"/>
  </mergeCells>
  <printOptions horizontalCentered="1"/>
  <pageMargins left="0.19685039370078741" right="0.27559055118110237" top="0.59055118110236227" bottom="0.35433070866141742" header="0.19685039370078741" footer="0"/>
  <pageSetup paperSize="9" scale="69" orientation="landscape" r:id="rId1"/>
  <headerFooter alignWithMargins="0">
    <oddHeader>&amp;L
Arbeitskreis Bauen, Energie, Technik&amp;C&amp;P&amp;R&amp;G</oddHeader>
    <oddFooter>&amp;R&amp;F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72"/>
  <sheetViews>
    <sheetView showGridLines="0" showZeros="0" showRuler="0" view="pageLayout" topLeftCell="A11" zoomScaleNormal="100" zoomScaleSheetLayoutView="100" workbookViewId="0">
      <selection activeCell="D12" sqref="D12"/>
    </sheetView>
  </sheetViews>
  <sheetFormatPr baseColWidth="10" defaultRowHeight="12.75" x14ac:dyDescent="0.2"/>
  <cols>
    <col min="1" max="1" width="32.28515625" style="473" customWidth="1"/>
    <col min="2" max="2" width="8.5703125" style="473" customWidth="1"/>
    <col min="3" max="3" width="18.85546875" style="473" customWidth="1"/>
    <col min="4" max="4" width="16.42578125" style="473" customWidth="1"/>
    <col min="5" max="5" width="22.140625" style="473" customWidth="1"/>
  </cols>
  <sheetData>
    <row r="1" spans="1:10" ht="15" customHeight="1" x14ac:dyDescent="0.2">
      <c r="A1" s="474"/>
      <c r="B1" s="596"/>
      <c r="C1" s="560"/>
      <c r="D1" s="453"/>
      <c r="E1" s="453"/>
    </row>
    <row r="2" spans="1:10" ht="15" customHeight="1" x14ac:dyDescent="0.2">
      <c r="A2" s="475"/>
      <c r="B2" s="596"/>
      <c r="C2" s="596"/>
      <c r="D2" s="454"/>
      <c r="E2" s="454"/>
    </row>
    <row r="3" spans="1:10" ht="2.25" customHeight="1" x14ac:dyDescent="0.2">
      <c r="A3" s="364"/>
      <c r="B3" s="125"/>
      <c r="C3" s="453"/>
      <c r="D3" s="453"/>
      <c r="E3" s="453"/>
    </row>
    <row r="4" spans="1:10" x14ac:dyDescent="0.2">
      <c r="A4" s="623" t="s">
        <v>132</v>
      </c>
      <c r="B4" s="560"/>
      <c r="C4" s="560"/>
      <c r="D4" s="560"/>
      <c r="E4" s="453"/>
    </row>
    <row r="5" spans="1:10" x14ac:dyDescent="0.2">
      <c r="A5" s="453"/>
      <c r="B5" s="74"/>
      <c r="C5" s="453"/>
      <c r="D5" s="453"/>
      <c r="E5" s="453"/>
    </row>
    <row r="6" spans="1:10" ht="12.75" customHeight="1" x14ac:dyDescent="0.2">
      <c r="A6" s="468" t="s">
        <v>1</v>
      </c>
      <c r="B6" s="652">
        <f>Übersicht!B8</f>
        <v>0</v>
      </c>
      <c r="C6" s="560"/>
      <c r="D6" s="453"/>
      <c r="E6" s="453"/>
      <c r="F6" s="460"/>
      <c r="G6" s="460"/>
      <c r="H6" s="460"/>
    </row>
    <row r="7" spans="1:10" x14ac:dyDescent="0.2">
      <c r="A7" s="468" t="s">
        <v>2</v>
      </c>
      <c r="B7" s="652" t="str">
        <f>Übersicht!B9</f>
        <v>Betrieb Name, Ort</v>
      </c>
      <c r="C7" s="560"/>
      <c r="D7" s="150"/>
      <c r="E7" s="151"/>
      <c r="F7" s="460"/>
      <c r="G7" s="460"/>
      <c r="H7" s="460"/>
    </row>
    <row r="8" spans="1:10" ht="15" customHeight="1" thickBot="1" x14ac:dyDescent="0.25">
      <c r="A8" s="453"/>
      <c r="B8" s="653"/>
      <c r="C8" s="654"/>
      <c r="D8" s="150"/>
      <c r="E8" s="151"/>
    </row>
    <row r="9" spans="1:10" ht="45.75" customHeight="1" thickBot="1" x14ac:dyDescent="0.25">
      <c r="A9" s="152" t="s">
        <v>24</v>
      </c>
      <c r="B9" s="238" t="s">
        <v>25</v>
      </c>
      <c r="C9" s="239" t="s">
        <v>133</v>
      </c>
      <c r="D9" s="153" t="s">
        <v>43</v>
      </c>
      <c r="E9" s="154" t="s">
        <v>134</v>
      </c>
      <c r="G9" s="501"/>
    </row>
    <row r="10" spans="1:10" ht="28.35" customHeight="1" x14ac:dyDescent="0.2">
      <c r="A10" s="243" t="s">
        <v>135</v>
      </c>
      <c r="B10" s="174"/>
      <c r="C10" s="502">
        <f>19889/1000/12</f>
        <v>1.6574166666666665</v>
      </c>
      <c r="D10" s="282">
        <f>Übersicht!$C$12</f>
        <v>0</v>
      </c>
      <c r="E10" s="332">
        <f t="shared" ref="E10:E17" si="0">B10*C10/1000*D10/750*1000</f>
        <v>0</v>
      </c>
      <c r="F10" s="416" t="s">
        <v>6</v>
      </c>
      <c r="H10" s="141"/>
      <c r="I10" s="139"/>
      <c r="J10" s="139"/>
    </row>
    <row r="11" spans="1:10" ht="28.35" customHeight="1" x14ac:dyDescent="0.2">
      <c r="A11" s="244" t="s">
        <v>136</v>
      </c>
      <c r="B11" s="175"/>
      <c r="C11" s="502">
        <f>5588/1000/12</f>
        <v>0.46566666666666667</v>
      </c>
      <c r="D11" s="283">
        <f>Übersicht!$C$12</f>
        <v>0</v>
      </c>
      <c r="E11" s="332">
        <f t="shared" si="0"/>
        <v>0</v>
      </c>
      <c r="H11" s="140"/>
      <c r="I11" s="139"/>
      <c r="J11" s="139"/>
    </row>
    <row r="12" spans="1:10" ht="28.35" customHeight="1" x14ac:dyDescent="0.2">
      <c r="A12" s="244" t="s">
        <v>137</v>
      </c>
      <c r="B12" s="175"/>
      <c r="C12" s="502">
        <f>6282/1000/12</f>
        <v>0.52349999999999997</v>
      </c>
      <c r="D12" s="283">
        <f>Übersicht!$C$12</f>
        <v>0</v>
      </c>
      <c r="E12" s="332">
        <f t="shared" si="0"/>
        <v>0</v>
      </c>
      <c r="H12" s="139"/>
      <c r="I12" s="139"/>
      <c r="J12" s="139"/>
    </row>
    <row r="13" spans="1:10" ht="28.35" customHeight="1" x14ac:dyDescent="0.2">
      <c r="A13" s="244" t="s">
        <v>138</v>
      </c>
      <c r="B13" s="175"/>
      <c r="C13" s="502">
        <f>6766/1000/12</f>
        <v>0.5638333333333333</v>
      </c>
      <c r="D13" s="283">
        <f>Übersicht!$C$12</f>
        <v>0</v>
      </c>
      <c r="E13" s="332">
        <f t="shared" si="0"/>
        <v>0</v>
      </c>
      <c r="H13" s="139"/>
      <c r="I13" s="139"/>
      <c r="J13" s="139"/>
    </row>
    <row r="14" spans="1:10" ht="28.35" customHeight="1" x14ac:dyDescent="0.2">
      <c r="A14" s="244" t="s">
        <v>139</v>
      </c>
      <c r="B14" s="175"/>
      <c r="C14" s="502">
        <f>9418/1000/17*52/12</f>
        <v>2.4006666666666665</v>
      </c>
      <c r="D14" s="283">
        <f>Übersicht!$C$12</f>
        <v>0</v>
      </c>
      <c r="E14" s="332">
        <f t="shared" si="0"/>
        <v>0</v>
      </c>
      <c r="H14" s="139"/>
      <c r="I14" s="139"/>
      <c r="J14" s="139"/>
    </row>
    <row r="15" spans="1:10" ht="28.35" customHeight="1" x14ac:dyDescent="0.2">
      <c r="A15" s="244" t="s">
        <v>140</v>
      </c>
      <c r="B15" s="175"/>
      <c r="C15" s="502">
        <f>19071/1000/22*52/12</f>
        <v>3.756409090909091</v>
      </c>
      <c r="D15" s="283">
        <f>Übersicht!$C$12</f>
        <v>0</v>
      </c>
      <c r="E15" s="332">
        <f t="shared" si="0"/>
        <v>0</v>
      </c>
      <c r="H15" s="139"/>
      <c r="I15" s="139"/>
      <c r="J15" s="139"/>
    </row>
    <row r="16" spans="1:10" ht="28.35" customHeight="1" x14ac:dyDescent="0.2">
      <c r="A16" s="362"/>
      <c r="B16" s="175"/>
      <c r="C16" s="363"/>
      <c r="D16" s="283">
        <f>Übersicht!$C$12</f>
        <v>0</v>
      </c>
      <c r="E16" s="332">
        <f t="shared" si="0"/>
        <v>0</v>
      </c>
      <c r="H16" s="139"/>
      <c r="I16" s="139"/>
      <c r="J16" s="139"/>
    </row>
    <row r="17" spans="1:10" ht="28.35" customHeight="1" thickBot="1" x14ac:dyDescent="0.25">
      <c r="A17" s="362"/>
      <c r="B17" s="175"/>
      <c r="C17" s="363"/>
      <c r="D17" s="283">
        <f>Übersicht!$C$12</f>
        <v>0</v>
      </c>
      <c r="E17" s="332">
        <f t="shared" si="0"/>
        <v>0</v>
      </c>
      <c r="H17" s="139"/>
      <c r="I17" s="139"/>
      <c r="J17" s="139"/>
    </row>
    <row r="18" spans="1:10" ht="28.35" customHeight="1" thickBot="1" x14ac:dyDescent="0.25">
      <c r="A18" s="242" t="s">
        <v>59</v>
      </c>
      <c r="B18" s="240"/>
      <c r="C18" s="240"/>
      <c r="D18" s="241"/>
      <c r="E18" s="333">
        <f>(SUM(E10:E17))</f>
        <v>0</v>
      </c>
    </row>
    <row r="19" spans="1:10" ht="12" customHeight="1" x14ac:dyDescent="0.2">
      <c r="A19" s="365"/>
      <c r="B19" s="85"/>
      <c r="C19" s="85"/>
      <c r="D19" s="98"/>
      <c r="E19" s="98"/>
    </row>
    <row r="20" spans="1:10" x14ac:dyDescent="0.2">
      <c r="A20" s="145" t="s">
        <v>141</v>
      </c>
      <c r="B20" s="85"/>
      <c r="C20" s="85"/>
      <c r="D20" s="98"/>
      <c r="E20" s="98"/>
    </row>
    <row r="21" spans="1:10" x14ac:dyDescent="0.2">
      <c r="A21" s="651" t="s">
        <v>142</v>
      </c>
      <c r="B21" s="560"/>
      <c r="C21" s="560"/>
      <c r="D21" s="560"/>
      <c r="E21" s="560"/>
    </row>
    <row r="22" spans="1:10" x14ac:dyDescent="0.2">
      <c r="A22" s="445"/>
      <c r="B22" s="412"/>
      <c r="C22" s="412"/>
    </row>
    <row r="23" spans="1:10" x14ac:dyDescent="0.2">
      <c r="A23" s="445"/>
      <c r="B23" s="434"/>
      <c r="C23" s="434"/>
    </row>
    <row r="24" spans="1:10" x14ac:dyDescent="0.2">
      <c r="A24" s="445"/>
      <c r="B24" s="434"/>
      <c r="C24" s="434"/>
    </row>
    <row r="25" spans="1:10" x14ac:dyDescent="0.2">
      <c r="A25" s="445"/>
      <c r="B25" s="434"/>
      <c r="C25" s="434"/>
    </row>
    <row r="26" spans="1:10" x14ac:dyDescent="0.2">
      <c r="A26" s="445"/>
      <c r="B26" s="434"/>
      <c r="C26" s="434"/>
    </row>
    <row r="27" spans="1:10" x14ac:dyDescent="0.2">
      <c r="A27" s="445"/>
      <c r="B27" s="423"/>
      <c r="C27" s="423"/>
    </row>
    <row r="28" spans="1:10" x14ac:dyDescent="0.2">
      <c r="A28" s="445"/>
      <c r="B28" s="423"/>
      <c r="C28" s="423"/>
    </row>
    <row r="29" spans="1:10" x14ac:dyDescent="0.2">
      <c r="A29" s="445"/>
      <c r="B29" s="423"/>
      <c r="C29" s="423"/>
    </row>
    <row r="30" spans="1:10" x14ac:dyDescent="0.2">
      <c r="A30" s="445"/>
      <c r="B30" s="423"/>
      <c r="C30" s="423"/>
    </row>
    <row r="31" spans="1:10" x14ac:dyDescent="0.2">
      <c r="A31" s="445"/>
      <c r="B31" s="423"/>
      <c r="C31" s="423"/>
    </row>
    <row r="32" spans="1:10" x14ac:dyDescent="0.2">
      <c r="A32" s="445"/>
      <c r="B32" s="423"/>
      <c r="C32" s="423"/>
    </row>
    <row r="33" spans="1:3" x14ac:dyDescent="0.2">
      <c r="A33" s="445"/>
      <c r="B33" s="423"/>
      <c r="C33" s="423"/>
    </row>
    <row r="34" spans="1:3" x14ac:dyDescent="0.2">
      <c r="A34" s="445"/>
      <c r="B34" s="423"/>
      <c r="C34" s="423"/>
    </row>
    <row r="35" spans="1:3" x14ac:dyDescent="0.2">
      <c r="A35" s="445"/>
      <c r="B35" s="423"/>
      <c r="C35" s="423"/>
    </row>
    <row r="36" spans="1:3" x14ac:dyDescent="0.2">
      <c r="A36" s="445"/>
      <c r="B36" s="423"/>
      <c r="C36" s="423"/>
    </row>
    <row r="37" spans="1:3" x14ac:dyDescent="0.2">
      <c r="A37" s="445"/>
      <c r="B37" s="423"/>
      <c r="C37" s="423"/>
    </row>
    <row r="38" spans="1:3" x14ac:dyDescent="0.2">
      <c r="A38" s="445"/>
      <c r="B38" s="423"/>
      <c r="C38" s="423"/>
    </row>
    <row r="39" spans="1:3" x14ac:dyDescent="0.2">
      <c r="A39" s="445"/>
      <c r="B39" s="423"/>
      <c r="C39" s="423"/>
    </row>
    <row r="40" spans="1:3" x14ac:dyDescent="0.2">
      <c r="A40" s="445"/>
      <c r="B40" s="423"/>
      <c r="C40" s="423"/>
    </row>
    <row r="41" spans="1:3" x14ac:dyDescent="0.2">
      <c r="A41" s="445"/>
      <c r="B41" s="423"/>
      <c r="C41" s="423"/>
    </row>
    <row r="42" spans="1:3" x14ac:dyDescent="0.2">
      <c r="A42" s="445"/>
      <c r="B42" s="423"/>
      <c r="C42" s="423"/>
    </row>
    <row r="43" spans="1:3" x14ac:dyDescent="0.2">
      <c r="A43" s="445"/>
      <c r="B43" s="423"/>
      <c r="C43" s="423"/>
    </row>
    <row r="44" spans="1:3" x14ac:dyDescent="0.2">
      <c r="A44" s="445"/>
      <c r="B44" s="423"/>
      <c r="C44" s="423"/>
    </row>
    <row r="45" spans="1:3" x14ac:dyDescent="0.2">
      <c r="A45" s="445"/>
      <c r="B45" s="423"/>
      <c r="C45" s="423"/>
    </row>
    <row r="46" spans="1:3" x14ac:dyDescent="0.2">
      <c r="A46" s="445"/>
      <c r="B46" s="423"/>
      <c r="C46" s="423"/>
    </row>
    <row r="47" spans="1:3" x14ac:dyDescent="0.2">
      <c r="A47" s="445"/>
      <c r="B47" s="423"/>
      <c r="C47" s="423"/>
    </row>
    <row r="48" spans="1:3" x14ac:dyDescent="0.2">
      <c r="A48" s="445"/>
      <c r="B48" s="423"/>
      <c r="C48" s="423"/>
    </row>
    <row r="49" spans="1:3" x14ac:dyDescent="0.2">
      <c r="A49" s="445"/>
      <c r="B49" s="427"/>
      <c r="C49" s="427"/>
    </row>
    <row r="50" spans="1:3" x14ac:dyDescent="0.2">
      <c r="A50" s="445"/>
      <c r="B50" s="428"/>
      <c r="C50" s="428"/>
    </row>
    <row r="51" spans="1:3" x14ac:dyDescent="0.2">
      <c r="A51" s="445"/>
      <c r="B51" s="423"/>
      <c r="C51" s="423"/>
    </row>
    <row r="52" spans="1:3" x14ac:dyDescent="0.2">
      <c r="A52" s="445"/>
      <c r="B52" s="430"/>
      <c r="C52" s="430"/>
    </row>
    <row r="53" spans="1:3" x14ac:dyDescent="0.2">
      <c r="A53" s="445"/>
      <c r="B53" s="431"/>
      <c r="C53" s="431"/>
    </row>
    <row r="54" spans="1:3" x14ac:dyDescent="0.2">
      <c r="A54" s="445"/>
      <c r="B54" s="423"/>
      <c r="C54" s="423"/>
    </row>
    <row r="55" spans="1:3" x14ac:dyDescent="0.2">
      <c r="A55" s="440"/>
      <c r="B55" s="432"/>
      <c r="C55" s="432"/>
    </row>
    <row r="56" spans="1:3" x14ac:dyDescent="0.2">
      <c r="A56" s="445"/>
      <c r="B56" s="434"/>
      <c r="C56" s="434"/>
    </row>
    <row r="57" spans="1:3" x14ac:dyDescent="0.2">
      <c r="A57" s="442"/>
      <c r="B57" s="434"/>
      <c r="C57" s="434"/>
    </row>
    <row r="58" spans="1:3" x14ac:dyDescent="0.2">
      <c r="A58" s="442"/>
      <c r="B58" s="434"/>
      <c r="C58" s="434"/>
    </row>
    <row r="59" spans="1:3" x14ac:dyDescent="0.2">
      <c r="A59" s="442"/>
      <c r="B59" s="434"/>
      <c r="C59" s="434"/>
    </row>
    <row r="60" spans="1:3" x14ac:dyDescent="0.2">
      <c r="A60" s="442"/>
      <c r="B60" s="434"/>
      <c r="C60" s="434"/>
    </row>
    <row r="61" spans="1:3" x14ac:dyDescent="0.2">
      <c r="A61" s="445"/>
      <c r="B61" s="434"/>
      <c r="C61" s="434"/>
    </row>
    <row r="62" spans="1:3" x14ac:dyDescent="0.2">
      <c r="A62" s="445"/>
      <c r="B62" s="434"/>
      <c r="C62" s="434"/>
    </row>
    <row r="63" spans="1:3" x14ac:dyDescent="0.2">
      <c r="A63" s="446"/>
      <c r="B63" s="439"/>
      <c r="C63" s="439"/>
    </row>
    <row r="64" spans="1:3" x14ac:dyDescent="0.2">
      <c r="A64" s="448"/>
      <c r="B64" s="439"/>
      <c r="C64" s="439"/>
    </row>
    <row r="65" spans="1:3" x14ac:dyDescent="0.2">
      <c r="A65" s="448"/>
      <c r="B65" s="439"/>
      <c r="C65" s="439"/>
    </row>
    <row r="66" spans="1:3" x14ac:dyDescent="0.2">
      <c r="A66" s="448"/>
      <c r="B66" s="439"/>
      <c r="C66" s="439"/>
    </row>
    <row r="67" spans="1:3" x14ac:dyDescent="0.2">
      <c r="A67" s="448"/>
      <c r="B67" s="439"/>
      <c r="C67" s="439"/>
    </row>
    <row r="68" spans="1:3" x14ac:dyDescent="0.2">
      <c r="A68" s="448"/>
      <c r="B68" s="439"/>
      <c r="C68" s="439"/>
    </row>
    <row r="69" spans="1:3" x14ac:dyDescent="0.2">
      <c r="A69" s="448"/>
      <c r="B69" s="439"/>
      <c r="C69" s="439"/>
    </row>
    <row r="70" spans="1:3" x14ac:dyDescent="0.2">
      <c r="A70" s="449"/>
      <c r="B70" s="444"/>
      <c r="C70" s="444"/>
    </row>
    <row r="71" spans="1:3" x14ac:dyDescent="0.2">
      <c r="A71" s="451"/>
      <c r="B71" s="444"/>
      <c r="C71" s="444"/>
    </row>
    <row r="72" spans="1:3" x14ac:dyDescent="0.2">
      <c r="A72" s="451"/>
      <c r="B72" s="444"/>
      <c r="C72" s="444"/>
    </row>
  </sheetData>
  <mergeCells count="6">
    <mergeCell ref="A21:E21"/>
    <mergeCell ref="B6:C6"/>
    <mergeCell ref="B7:C7"/>
    <mergeCell ref="A4:D4"/>
    <mergeCell ref="B1:C2"/>
    <mergeCell ref="B8:C8"/>
  </mergeCells>
  <printOptions horizontalCentered="1"/>
  <pageMargins left="0.19685039370078741" right="0.27559055118110237" top="0.59055118110236227" bottom="0.35433070866141742" header="0.19685039370078741" footer="0"/>
  <pageSetup paperSize="9" scale="69" orientation="landscape" r:id="rId1"/>
  <headerFooter alignWithMargins="0">
    <oddHeader>&amp;L
Arbeitskreis Bauen, Energie, Technik&amp;C&amp;P&amp;R&amp;G</oddHeader>
    <oddFooter>&amp;R&amp;F</oddFooter>
  </headerFooter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62"/>
  <sheetViews>
    <sheetView showGridLines="0" showRowColHeaders="0" showZeros="0" view="pageLayout" topLeftCell="A12" zoomScaleNormal="100" zoomScaleSheetLayoutView="100" workbookViewId="0">
      <selection activeCell="C17" sqref="C17"/>
    </sheetView>
  </sheetViews>
  <sheetFormatPr baseColWidth="10" defaultRowHeight="12.75" x14ac:dyDescent="0.2"/>
  <cols>
    <col min="1" max="1" width="32.28515625" style="473" customWidth="1"/>
    <col min="2" max="2" width="10.7109375" style="473" customWidth="1"/>
    <col min="3" max="3" width="7" style="473" customWidth="1"/>
    <col min="4" max="4" width="12.7109375" style="473" customWidth="1"/>
    <col min="5" max="5" width="12.42578125" style="473" customWidth="1"/>
    <col min="6" max="6" width="12.140625" style="473" customWidth="1"/>
    <col min="7" max="7" width="24.7109375" style="473" customWidth="1"/>
    <col min="8" max="8" width="63.140625" style="473" customWidth="1"/>
  </cols>
  <sheetData>
    <row r="1" spans="1:10" ht="15" customHeight="1" x14ac:dyDescent="0.2">
      <c r="A1" s="465"/>
      <c r="B1" s="612"/>
      <c r="C1" s="585"/>
      <c r="D1" s="585"/>
      <c r="E1" s="585"/>
    </row>
    <row r="2" spans="1:10" ht="15" customHeight="1" x14ac:dyDescent="0.2">
      <c r="A2" s="466"/>
      <c r="B2" s="612"/>
      <c r="C2" s="612"/>
      <c r="D2" s="612"/>
      <c r="E2" s="612"/>
      <c r="F2" s="458"/>
      <c r="G2" s="458"/>
    </row>
    <row r="3" spans="1:10" ht="2.25" customHeight="1" x14ac:dyDescent="0.2">
      <c r="A3" s="3"/>
      <c r="B3" s="4"/>
      <c r="C3" s="4"/>
      <c r="D3" s="4"/>
    </row>
    <row r="4" spans="1:10" x14ac:dyDescent="0.2">
      <c r="A4" s="623" t="s">
        <v>143</v>
      </c>
      <c r="B4" s="560"/>
      <c r="C4" s="560"/>
      <c r="D4" s="560"/>
      <c r="E4" s="560"/>
      <c r="F4" s="560"/>
    </row>
    <row r="6" spans="1:10" ht="12.75" customHeight="1" x14ac:dyDescent="0.2">
      <c r="A6" s="468" t="s">
        <v>1</v>
      </c>
      <c r="B6" s="652">
        <f>Übersicht!B8</f>
        <v>0</v>
      </c>
      <c r="C6" s="560"/>
      <c r="D6" s="560"/>
      <c r="E6" s="560"/>
      <c r="H6" s="460"/>
      <c r="I6" s="460"/>
    </row>
    <row r="7" spans="1:10" ht="13.5" customHeight="1" thickBot="1" x14ac:dyDescent="0.25">
      <c r="A7" s="468" t="s">
        <v>2</v>
      </c>
      <c r="B7" s="652" t="str">
        <f>Übersicht!B9</f>
        <v>Betrieb Name, Ort</v>
      </c>
      <c r="C7" s="560"/>
      <c r="D7" s="560"/>
      <c r="E7" s="560"/>
      <c r="F7" s="150"/>
      <c r="G7" s="150"/>
      <c r="H7" s="460"/>
      <c r="I7" s="460"/>
    </row>
    <row r="8" spans="1:10" ht="37.9" customHeight="1" x14ac:dyDescent="0.2">
      <c r="A8" s="253" t="s">
        <v>24</v>
      </c>
      <c r="B8" s="463" t="s">
        <v>25</v>
      </c>
      <c r="C8" s="464" t="s">
        <v>144</v>
      </c>
      <c r="D8" s="464" t="s">
        <v>145</v>
      </c>
      <c r="E8" s="464" t="s">
        <v>146</v>
      </c>
      <c r="F8" s="464" t="s">
        <v>147</v>
      </c>
      <c r="G8" s="208" t="s">
        <v>148</v>
      </c>
    </row>
    <row r="9" spans="1:10" ht="25.5" customHeight="1" thickBot="1" x14ac:dyDescent="0.25">
      <c r="A9" s="254"/>
      <c r="B9" s="255"/>
      <c r="C9" s="257"/>
      <c r="D9" s="258" t="s">
        <v>149</v>
      </c>
      <c r="E9" s="259" t="s">
        <v>149</v>
      </c>
      <c r="F9" s="259" t="s">
        <v>150</v>
      </c>
      <c r="G9" s="256" t="s">
        <v>151</v>
      </c>
    </row>
    <row r="10" spans="1:10" ht="33.950000000000003" customHeight="1" x14ac:dyDescent="0.25">
      <c r="A10" s="335" t="s">
        <v>152</v>
      </c>
      <c r="B10" s="246"/>
      <c r="C10" s="247">
        <v>0.15</v>
      </c>
      <c r="D10" s="348">
        <v>0</v>
      </c>
      <c r="E10" s="334">
        <f t="shared" ref="E10:E16" si="0">C10*0.92</f>
        <v>0.13800000000000001</v>
      </c>
      <c r="F10" s="339">
        <f>Übersicht!$C$12</f>
        <v>0</v>
      </c>
      <c r="G10" s="248">
        <f t="shared" ref="G10:G16" si="1">B10*C10*E10*F10</f>
        <v>0</v>
      </c>
      <c r="H10" s="416" t="s">
        <v>6</v>
      </c>
      <c r="I10" s="143"/>
      <c r="J10" s="143"/>
    </row>
    <row r="11" spans="1:10" ht="33.950000000000003" customHeight="1" x14ac:dyDescent="0.25">
      <c r="A11" s="336" t="s">
        <v>153</v>
      </c>
      <c r="B11" s="249"/>
      <c r="C11" s="250">
        <v>0.22</v>
      </c>
      <c r="D11" s="349">
        <v>0</v>
      </c>
      <c r="E11" s="334">
        <f t="shared" si="0"/>
        <v>0.2024</v>
      </c>
      <c r="F11" s="339">
        <f>Übersicht!$C$12</f>
        <v>0</v>
      </c>
      <c r="G11" s="248">
        <f t="shared" si="1"/>
        <v>0</v>
      </c>
      <c r="H11" s="143"/>
      <c r="I11" s="143"/>
      <c r="J11" s="143"/>
    </row>
    <row r="12" spans="1:10" ht="33.950000000000003" customHeight="1" x14ac:dyDescent="0.25">
      <c r="A12" s="335" t="s">
        <v>154</v>
      </c>
      <c r="B12" s="249"/>
      <c r="C12" s="250">
        <v>0.1</v>
      </c>
      <c r="D12" s="349">
        <v>0</v>
      </c>
      <c r="E12" s="334">
        <f t="shared" si="0"/>
        <v>9.2000000000000012E-2</v>
      </c>
      <c r="F12" s="339">
        <f>Übersicht!$C$12</f>
        <v>0</v>
      </c>
      <c r="G12" s="248">
        <f t="shared" si="1"/>
        <v>0</v>
      </c>
      <c r="H12" s="142"/>
      <c r="I12" s="143"/>
      <c r="J12" s="143"/>
    </row>
    <row r="13" spans="1:10" ht="33.950000000000003" customHeight="1" x14ac:dyDescent="0.25">
      <c r="A13" s="336" t="s">
        <v>155</v>
      </c>
      <c r="B13" s="249"/>
      <c r="C13" s="250">
        <v>0.11</v>
      </c>
      <c r="D13" s="349">
        <v>0</v>
      </c>
      <c r="E13" s="334">
        <f t="shared" si="0"/>
        <v>0.1012</v>
      </c>
      <c r="F13" s="339">
        <f>Übersicht!$C$12</f>
        <v>0</v>
      </c>
      <c r="G13" s="248">
        <f t="shared" si="1"/>
        <v>0</v>
      </c>
      <c r="H13" s="142"/>
      <c r="I13" s="143"/>
      <c r="J13" s="143"/>
    </row>
    <row r="14" spans="1:10" ht="33.950000000000003" customHeight="1" x14ac:dyDescent="0.25">
      <c r="A14" s="336" t="s">
        <v>156</v>
      </c>
      <c r="B14" s="249"/>
      <c r="C14" s="250">
        <v>0.05</v>
      </c>
      <c r="D14" s="349">
        <v>0</v>
      </c>
      <c r="E14" s="334">
        <f t="shared" si="0"/>
        <v>4.6000000000000006E-2</v>
      </c>
      <c r="F14" s="339">
        <f>Übersicht!$C$12</f>
        <v>0</v>
      </c>
      <c r="G14" s="248">
        <f t="shared" si="1"/>
        <v>0</v>
      </c>
      <c r="H14" s="143"/>
      <c r="I14" s="143"/>
      <c r="J14" s="143"/>
    </row>
    <row r="15" spans="1:10" ht="33.950000000000003" customHeight="1" x14ac:dyDescent="0.25">
      <c r="A15" s="337" t="s">
        <v>157</v>
      </c>
      <c r="B15" s="251"/>
      <c r="C15" s="252">
        <v>0.06</v>
      </c>
      <c r="D15" s="350">
        <v>0</v>
      </c>
      <c r="E15" s="334">
        <f t="shared" si="0"/>
        <v>5.5199999999999999E-2</v>
      </c>
      <c r="F15" s="339">
        <f>Übersicht!$C$12</f>
        <v>0</v>
      </c>
      <c r="G15" s="248">
        <f t="shared" si="1"/>
        <v>0</v>
      </c>
      <c r="H15" s="142"/>
      <c r="I15" s="143"/>
      <c r="J15" s="143"/>
    </row>
    <row r="16" spans="1:10" ht="33.950000000000003" customHeight="1" x14ac:dyDescent="0.25">
      <c r="A16" s="337" t="s">
        <v>158</v>
      </c>
      <c r="B16" s="251"/>
      <c r="C16" s="252">
        <v>0.02</v>
      </c>
      <c r="D16" s="350">
        <v>0</v>
      </c>
      <c r="E16" s="334">
        <f t="shared" si="0"/>
        <v>1.84E-2</v>
      </c>
      <c r="F16" s="339">
        <f>Übersicht!$C$12</f>
        <v>0</v>
      </c>
      <c r="G16" s="248">
        <f t="shared" si="1"/>
        <v>0</v>
      </c>
      <c r="H16" s="142"/>
      <c r="I16" s="143"/>
      <c r="J16" s="143"/>
    </row>
    <row r="17" spans="1:10" ht="33.950000000000003" customHeight="1" x14ac:dyDescent="0.25">
      <c r="A17" s="366"/>
      <c r="B17" s="260"/>
      <c r="C17" s="367"/>
      <c r="D17" s="368"/>
      <c r="E17" s="368"/>
      <c r="F17" s="369"/>
      <c r="G17" s="245">
        <f>B17*E17*F17/0.75/10</f>
        <v>0</v>
      </c>
      <c r="H17" s="142"/>
      <c r="I17" s="143"/>
      <c r="J17" s="143"/>
    </row>
    <row r="18" spans="1:10" ht="33.950000000000003" customHeight="1" thickBot="1" x14ac:dyDescent="0.3">
      <c r="A18" s="370"/>
      <c r="B18" s="261"/>
      <c r="C18" s="371"/>
      <c r="D18" s="372"/>
      <c r="E18" s="372"/>
      <c r="F18" s="373"/>
      <c r="G18" s="245">
        <f>B18*E18*F18/0.75/10</f>
        <v>0</v>
      </c>
      <c r="H18" s="142"/>
      <c r="I18" s="143"/>
      <c r="J18" s="143"/>
    </row>
    <row r="19" spans="1:10" ht="33.950000000000003" customHeight="1" thickBot="1" x14ac:dyDescent="0.3">
      <c r="A19" s="338" t="s">
        <v>59</v>
      </c>
      <c r="B19" s="393"/>
      <c r="C19" s="393"/>
      <c r="D19" s="393"/>
      <c r="E19" s="393"/>
      <c r="F19" s="144"/>
      <c r="G19" s="503">
        <f>(SUM(G10:G15))</f>
        <v>0</v>
      </c>
      <c r="H19" s="143"/>
      <c r="I19" s="143"/>
      <c r="J19" s="143"/>
    </row>
    <row r="20" spans="1:10" ht="12" customHeight="1" x14ac:dyDescent="0.25">
      <c r="A20" s="38" t="s">
        <v>159</v>
      </c>
      <c r="B20" s="403"/>
      <c r="C20" s="403"/>
      <c r="D20" s="403"/>
      <c r="E20" s="403"/>
      <c r="F20" s="406"/>
      <c r="G20" s="406"/>
      <c r="H20" s="142"/>
      <c r="I20" s="143"/>
      <c r="J20" s="143"/>
    </row>
    <row r="21" spans="1:10" ht="12" customHeight="1" x14ac:dyDescent="0.25">
      <c r="A21" s="38" t="s">
        <v>160</v>
      </c>
      <c r="B21" s="403"/>
      <c r="C21" s="403"/>
      <c r="D21" s="403"/>
      <c r="E21" s="403"/>
      <c r="F21" s="406"/>
      <c r="G21" s="406"/>
      <c r="H21" s="142"/>
      <c r="I21" s="143"/>
      <c r="J21" s="143"/>
    </row>
    <row r="22" spans="1:10" x14ac:dyDescent="0.2">
      <c r="A22" s="145" t="s">
        <v>141</v>
      </c>
      <c r="B22" s="403"/>
      <c r="C22" s="403"/>
      <c r="D22" s="403"/>
      <c r="E22" s="403"/>
      <c r="F22" s="406"/>
      <c r="G22" s="406"/>
    </row>
    <row r="23" spans="1:10" x14ac:dyDescent="0.2">
      <c r="A23" s="651" t="s">
        <v>161</v>
      </c>
      <c r="B23" s="560"/>
      <c r="C23" s="560"/>
      <c r="D23" s="560"/>
      <c r="E23" s="560"/>
      <c r="F23" s="560"/>
    </row>
    <row r="24" spans="1:10" x14ac:dyDescent="0.2">
      <c r="A24" s="445"/>
      <c r="B24" s="412"/>
      <c r="C24" s="412"/>
      <c r="D24" s="412"/>
      <c r="E24" s="412"/>
    </row>
    <row r="25" spans="1:10" x14ac:dyDescent="0.2">
      <c r="A25" s="445"/>
      <c r="B25" s="423"/>
      <c r="C25" s="423"/>
      <c r="D25" s="423"/>
      <c r="E25" s="423"/>
    </row>
    <row r="26" spans="1:10" x14ac:dyDescent="0.2">
      <c r="A26" s="445"/>
      <c r="B26" s="423"/>
      <c r="C26" s="423"/>
      <c r="D26" s="423"/>
      <c r="E26" s="423"/>
    </row>
    <row r="27" spans="1:10" x14ac:dyDescent="0.2">
      <c r="A27" s="445"/>
      <c r="B27" s="423"/>
      <c r="C27" s="423"/>
      <c r="D27" s="423"/>
      <c r="E27" s="423"/>
    </row>
    <row r="28" spans="1:10" x14ac:dyDescent="0.2">
      <c r="A28" s="445"/>
      <c r="B28" s="423"/>
      <c r="C28" s="423"/>
      <c r="D28" s="423"/>
      <c r="E28" s="423"/>
    </row>
    <row r="29" spans="1:10" x14ac:dyDescent="0.2">
      <c r="A29" s="445"/>
      <c r="B29" s="423"/>
      <c r="C29" s="423"/>
      <c r="D29" s="423"/>
      <c r="E29" s="423"/>
    </row>
    <row r="30" spans="1:10" x14ac:dyDescent="0.2">
      <c r="A30" s="445"/>
      <c r="B30" s="423"/>
      <c r="C30" s="423"/>
      <c r="D30" s="423"/>
      <c r="E30" s="423"/>
    </row>
    <row r="31" spans="1:10" x14ac:dyDescent="0.2">
      <c r="A31" s="445"/>
      <c r="B31" s="423"/>
      <c r="C31" s="423"/>
      <c r="D31" s="423"/>
      <c r="E31" s="423"/>
    </row>
    <row r="32" spans="1:10" x14ac:dyDescent="0.2">
      <c r="A32" s="445"/>
      <c r="B32" s="423"/>
      <c r="C32" s="423"/>
      <c r="D32" s="423"/>
      <c r="E32" s="423"/>
    </row>
    <row r="33" spans="1:5" x14ac:dyDescent="0.2">
      <c r="A33" s="445"/>
      <c r="B33" s="423"/>
      <c r="C33" s="423"/>
      <c r="D33" s="423"/>
      <c r="E33" s="423"/>
    </row>
    <row r="34" spans="1:5" x14ac:dyDescent="0.2">
      <c r="A34" s="445"/>
      <c r="B34" s="423"/>
      <c r="C34" s="423"/>
      <c r="D34" s="423"/>
      <c r="E34" s="423"/>
    </row>
    <row r="35" spans="1:5" x14ac:dyDescent="0.2">
      <c r="A35" s="445"/>
      <c r="B35" s="423"/>
      <c r="C35" s="423"/>
      <c r="D35" s="423"/>
      <c r="E35" s="423"/>
    </row>
    <row r="36" spans="1:5" x14ac:dyDescent="0.2">
      <c r="A36" s="445"/>
      <c r="B36" s="423"/>
      <c r="C36" s="423"/>
      <c r="D36" s="423"/>
      <c r="E36" s="423"/>
    </row>
    <row r="37" spans="1:5" x14ac:dyDescent="0.2">
      <c r="A37" s="445"/>
      <c r="B37" s="423"/>
      <c r="C37" s="423"/>
      <c r="D37" s="423"/>
      <c r="E37" s="423"/>
    </row>
    <row r="38" spans="1:5" x14ac:dyDescent="0.2">
      <c r="A38" s="445"/>
      <c r="B38" s="423"/>
      <c r="C38" s="423"/>
      <c r="D38" s="423"/>
      <c r="E38" s="423"/>
    </row>
    <row r="39" spans="1:5" x14ac:dyDescent="0.2">
      <c r="A39" s="445"/>
      <c r="B39" s="427"/>
      <c r="C39" s="427"/>
      <c r="D39" s="427"/>
      <c r="E39" s="427"/>
    </row>
    <row r="40" spans="1:5" x14ac:dyDescent="0.2">
      <c r="A40" s="445"/>
      <c r="B40" s="428"/>
      <c r="C40" s="428"/>
      <c r="D40" s="428"/>
      <c r="E40" s="428"/>
    </row>
    <row r="41" spans="1:5" x14ac:dyDescent="0.2">
      <c r="A41" s="445"/>
      <c r="B41" s="423"/>
      <c r="C41" s="423"/>
      <c r="D41" s="423"/>
      <c r="E41" s="423"/>
    </row>
    <row r="42" spans="1:5" x14ac:dyDescent="0.2">
      <c r="A42" s="445"/>
      <c r="B42" s="430"/>
      <c r="C42" s="430"/>
      <c r="D42" s="430"/>
      <c r="E42" s="430"/>
    </row>
    <row r="43" spans="1:5" x14ac:dyDescent="0.2">
      <c r="A43" s="445"/>
      <c r="B43" s="431"/>
      <c r="C43" s="431"/>
      <c r="D43" s="431"/>
      <c r="E43" s="431"/>
    </row>
    <row r="44" spans="1:5" x14ac:dyDescent="0.2">
      <c r="A44" s="445"/>
      <c r="B44" s="423"/>
      <c r="C44" s="423"/>
      <c r="D44" s="423"/>
      <c r="E44" s="423"/>
    </row>
    <row r="45" spans="1:5" x14ac:dyDescent="0.2">
      <c r="A45" s="440"/>
      <c r="B45" s="432"/>
      <c r="C45" s="432"/>
      <c r="D45" s="432"/>
      <c r="E45" s="432"/>
    </row>
    <row r="46" spans="1:5" x14ac:dyDescent="0.2">
      <c r="A46" s="445"/>
      <c r="B46" s="434"/>
      <c r="C46" s="434"/>
      <c r="D46" s="434"/>
      <c r="E46" s="434"/>
    </row>
    <row r="47" spans="1:5" x14ac:dyDescent="0.2">
      <c r="A47" s="442"/>
      <c r="B47" s="434"/>
      <c r="C47" s="434"/>
      <c r="D47" s="434"/>
      <c r="E47" s="434"/>
    </row>
    <row r="48" spans="1:5" x14ac:dyDescent="0.2">
      <c r="A48" s="442"/>
      <c r="B48" s="434"/>
      <c r="C48" s="434"/>
      <c r="D48" s="434"/>
      <c r="E48" s="434"/>
    </row>
    <row r="49" spans="1:5" x14ac:dyDescent="0.2">
      <c r="A49" s="442"/>
      <c r="B49" s="434"/>
      <c r="C49" s="434"/>
      <c r="D49" s="434"/>
      <c r="E49" s="434"/>
    </row>
    <row r="50" spans="1:5" x14ac:dyDescent="0.2">
      <c r="A50" s="442"/>
      <c r="B50" s="434"/>
      <c r="C50" s="434"/>
      <c r="D50" s="434"/>
      <c r="E50" s="434"/>
    </row>
    <row r="51" spans="1:5" x14ac:dyDescent="0.2">
      <c r="A51" s="445"/>
      <c r="B51" s="434"/>
      <c r="C51" s="434"/>
      <c r="D51" s="434"/>
      <c r="E51" s="434"/>
    </row>
    <row r="52" spans="1:5" x14ac:dyDescent="0.2">
      <c r="A52" s="445"/>
      <c r="B52" s="434"/>
      <c r="C52" s="434"/>
      <c r="D52" s="434"/>
      <c r="E52" s="434"/>
    </row>
    <row r="53" spans="1:5" x14ac:dyDescent="0.2">
      <c r="A53" s="446"/>
      <c r="B53" s="439"/>
      <c r="C53" s="439"/>
      <c r="D53" s="439"/>
      <c r="E53" s="439"/>
    </row>
    <row r="54" spans="1:5" x14ac:dyDescent="0.2">
      <c r="A54" s="448"/>
      <c r="B54" s="439"/>
      <c r="C54" s="439"/>
      <c r="D54" s="439"/>
      <c r="E54" s="439"/>
    </row>
    <row r="55" spans="1:5" x14ac:dyDescent="0.2">
      <c r="A55" s="448"/>
      <c r="B55" s="439"/>
      <c r="C55" s="439"/>
      <c r="D55" s="439"/>
      <c r="E55" s="439"/>
    </row>
    <row r="56" spans="1:5" x14ac:dyDescent="0.2">
      <c r="A56" s="448"/>
      <c r="B56" s="439"/>
      <c r="C56" s="439"/>
      <c r="D56" s="439"/>
      <c r="E56" s="439"/>
    </row>
    <row r="57" spans="1:5" x14ac:dyDescent="0.2">
      <c r="A57" s="448"/>
      <c r="B57" s="439"/>
      <c r="C57" s="439"/>
      <c r="D57" s="439"/>
      <c r="E57" s="439"/>
    </row>
    <row r="58" spans="1:5" x14ac:dyDescent="0.2">
      <c r="A58" s="448"/>
      <c r="B58" s="439"/>
      <c r="C58" s="439"/>
      <c r="D58" s="439"/>
      <c r="E58" s="439"/>
    </row>
    <row r="59" spans="1:5" x14ac:dyDescent="0.2">
      <c r="A59" s="448"/>
      <c r="B59" s="439"/>
      <c r="C59" s="439"/>
      <c r="D59" s="439"/>
      <c r="E59" s="439"/>
    </row>
    <row r="60" spans="1:5" x14ac:dyDescent="0.2">
      <c r="A60" s="449"/>
      <c r="B60" s="444"/>
      <c r="C60" s="444"/>
      <c r="D60" s="444"/>
      <c r="E60" s="444"/>
    </row>
    <row r="61" spans="1:5" x14ac:dyDescent="0.2">
      <c r="A61" s="451"/>
      <c r="B61" s="444"/>
      <c r="C61" s="444"/>
      <c r="D61" s="444"/>
      <c r="E61" s="444"/>
    </row>
    <row r="62" spans="1:5" x14ac:dyDescent="0.2">
      <c r="A62" s="451"/>
      <c r="B62" s="444"/>
      <c r="C62" s="444"/>
      <c r="D62" s="444"/>
      <c r="E62" s="444"/>
    </row>
  </sheetData>
  <mergeCells count="5">
    <mergeCell ref="B6:E6"/>
    <mergeCell ref="A23:F23"/>
    <mergeCell ref="B7:E7"/>
    <mergeCell ref="A4:F4"/>
    <mergeCell ref="B1:E2"/>
  </mergeCells>
  <printOptions horizontalCentered="1"/>
  <pageMargins left="0.19685039370078741" right="0.27559055118110237" top="0.59055118110236227" bottom="0.35433070866141742" header="0.19685039370078741" footer="0"/>
  <pageSetup paperSize="9" scale="69" orientation="landscape" r:id="rId1"/>
  <headerFooter alignWithMargins="0">
    <oddHeader>&amp;L
Arbeitskreis Bauen, Energie, Technik&amp;C&amp;P&amp;R&amp;G</oddHeader>
    <oddFooter>&amp;R&amp;F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Z73"/>
  <sheetViews>
    <sheetView showGridLines="0" showZeros="0" view="pageLayout" zoomScale="120" zoomScaleNormal="100" zoomScaleSheetLayoutView="100" zoomScalePageLayoutView="120" workbookViewId="0">
      <selection activeCell="D13" sqref="D13"/>
    </sheetView>
  </sheetViews>
  <sheetFormatPr baseColWidth="10" defaultColWidth="11.42578125" defaultRowHeight="12.75" x14ac:dyDescent="0.2"/>
  <cols>
    <col min="1" max="1" width="28.5703125" style="473" customWidth="1"/>
    <col min="2" max="2" width="11.42578125" style="473" customWidth="1"/>
    <col min="3" max="3" width="39.140625" style="473" customWidth="1"/>
    <col min="4" max="4" width="14.85546875" style="473" customWidth="1"/>
    <col min="5" max="5" width="23.5703125" style="473" customWidth="1"/>
    <col min="6" max="6" width="10.140625" style="473" bestFit="1" customWidth="1"/>
    <col min="7" max="7" width="13.140625" style="473" customWidth="1"/>
    <col min="8" max="8" width="12.28515625" style="473" bestFit="1" customWidth="1"/>
    <col min="9" max="9" width="4.28515625" style="473" customWidth="1"/>
    <col min="10" max="10" width="5" style="473" customWidth="1"/>
    <col min="11" max="11" width="5.42578125" style="473" customWidth="1"/>
    <col min="12" max="12" width="4.85546875" style="473" customWidth="1"/>
    <col min="13" max="13" width="4.5703125" style="473" customWidth="1"/>
    <col min="14" max="14" width="4" style="473" bestFit="1" customWidth="1"/>
    <col min="15" max="15" width="4.85546875" style="473" bestFit="1" customWidth="1"/>
    <col min="16" max="16" width="4.7109375" style="473" customWidth="1"/>
    <col min="17" max="17" width="5.140625" style="473" customWidth="1"/>
    <col min="18" max="18" width="4" style="473" bestFit="1" customWidth="1"/>
    <col min="19" max="19" width="3.85546875" style="473" customWidth="1"/>
    <col min="20" max="21" width="4" style="473" bestFit="1" customWidth="1"/>
    <col min="22" max="22" width="4.140625" style="473" customWidth="1"/>
    <col min="23" max="23" width="11.42578125" style="473" customWidth="1"/>
    <col min="24" max="24" width="12" style="473" customWidth="1"/>
    <col min="25" max="25" width="11.42578125" style="473" customWidth="1"/>
    <col min="26" max="16384" width="11.42578125" style="473"/>
  </cols>
  <sheetData>
    <row r="1" spans="1:26" ht="18" customHeight="1" x14ac:dyDescent="0.25">
      <c r="C1" s="465"/>
      <c r="D1" s="457"/>
      <c r="E1" s="457"/>
      <c r="F1" s="457"/>
      <c r="G1" s="457"/>
      <c r="H1" s="457"/>
      <c r="I1" s="457"/>
      <c r="J1" s="457"/>
      <c r="K1" s="457"/>
      <c r="L1" s="457"/>
    </row>
    <row r="2" spans="1:26" ht="15" customHeight="1" x14ac:dyDescent="0.2">
      <c r="A2" s="458"/>
      <c r="B2" s="458"/>
      <c r="C2" s="466"/>
      <c r="D2" s="397"/>
      <c r="E2" s="397"/>
      <c r="F2" s="397"/>
      <c r="G2" s="397"/>
    </row>
    <row r="3" spans="1:26" ht="2.25" customHeight="1" x14ac:dyDescent="0.2">
      <c r="C3" s="465"/>
      <c r="D3" s="398"/>
      <c r="E3" s="398"/>
      <c r="F3" s="450"/>
      <c r="G3" s="450"/>
    </row>
    <row r="4" spans="1:26" x14ac:dyDescent="0.2">
      <c r="C4" s="425" t="s">
        <v>162</v>
      </c>
      <c r="D4" s="399"/>
      <c r="E4" s="399"/>
      <c r="F4" s="399"/>
      <c r="G4" s="399"/>
      <c r="H4" s="399"/>
      <c r="I4" s="399"/>
      <c r="J4" s="399"/>
      <c r="K4" s="399"/>
      <c r="L4" s="399"/>
      <c r="M4" s="399"/>
      <c r="N4" s="399"/>
      <c r="O4" s="399"/>
      <c r="P4" s="399"/>
      <c r="Q4" s="399"/>
      <c r="R4" s="399"/>
      <c r="S4" s="399"/>
      <c r="T4" s="399"/>
      <c r="U4" s="399"/>
      <c r="V4" s="399"/>
      <c r="W4" s="399"/>
    </row>
    <row r="5" spans="1:26" x14ac:dyDescent="0.2">
      <c r="C5" s="399"/>
      <c r="D5" s="399"/>
      <c r="E5" s="399"/>
      <c r="F5" s="399"/>
      <c r="G5" s="399"/>
      <c r="H5" s="399"/>
      <c r="I5" s="399"/>
      <c r="J5" s="399"/>
      <c r="K5" s="399"/>
      <c r="L5" s="399"/>
      <c r="M5" s="399"/>
      <c r="N5" s="399"/>
      <c r="O5" s="399"/>
      <c r="P5" s="399"/>
      <c r="Q5" s="399"/>
      <c r="R5" s="399"/>
      <c r="S5" s="399"/>
      <c r="T5" s="399"/>
      <c r="U5" s="399"/>
      <c r="V5" s="399"/>
      <c r="W5" s="399"/>
    </row>
    <row r="6" spans="1:26" ht="12.75" customHeight="1" x14ac:dyDescent="0.2">
      <c r="B6" s="400" t="s">
        <v>1</v>
      </c>
      <c r="C6" s="656">
        <f>Übersicht!B8</f>
        <v>0</v>
      </c>
      <c r="D6" s="585"/>
      <c r="E6" s="585"/>
      <c r="F6" s="585"/>
      <c r="G6" s="585"/>
      <c r="H6" s="461"/>
      <c r="I6" s="461"/>
      <c r="J6" s="461"/>
      <c r="K6" s="461"/>
      <c r="L6" s="461"/>
      <c r="M6" s="461"/>
      <c r="N6" s="461"/>
      <c r="O6" s="461"/>
      <c r="P6" s="461"/>
      <c r="Q6" s="461"/>
      <c r="R6" s="461"/>
      <c r="S6" s="461"/>
      <c r="T6" s="461"/>
      <c r="U6" s="461"/>
      <c r="V6" s="657"/>
      <c r="W6" s="655"/>
      <c r="X6" s="655"/>
      <c r="Y6" s="460"/>
      <c r="Z6" s="460"/>
    </row>
    <row r="7" spans="1:26" x14ac:dyDescent="0.2">
      <c r="B7" s="400" t="s">
        <v>2</v>
      </c>
      <c r="C7" s="656" t="str">
        <f>Übersicht!B9</f>
        <v>Betrieb Name, Ort</v>
      </c>
      <c r="D7" s="585"/>
      <c r="E7" s="585"/>
      <c r="F7" s="585"/>
      <c r="G7" s="585"/>
      <c r="H7" s="461"/>
      <c r="I7" s="461"/>
      <c r="J7" s="461"/>
      <c r="K7" s="461"/>
      <c r="L7" s="461"/>
      <c r="M7" s="461"/>
      <c r="N7" s="461"/>
      <c r="O7" s="461"/>
      <c r="P7" s="461"/>
      <c r="Q7" s="461"/>
      <c r="R7" s="461"/>
      <c r="S7" s="461"/>
      <c r="T7" s="461"/>
      <c r="U7" s="461"/>
      <c r="V7" s="585"/>
      <c r="W7" s="585"/>
      <c r="X7" s="585"/>
      <c r="Y7" s="460"/>
      <c r="Z7" s="460"/>
    </row>
    <row r="8" spans="1:26" ht="12" customHeight="1" x14ac:dyDescent="0.2">
      <c r="D8" s="401"/>
      <c r="E8" s="401"/>
      <c r="F8" s="401"/>
      <c r="G8" s="401"/>
      <c r="H8" s="402"/>
      <c r="I8" s="402"/>
      <c r="J8" s="402"/>
      <c r="K8" s="402"/>
      <c r="L8" s="402"/>
      <c r="M8" s="403"/>
      <c r="N8" s="403"/>
      <c r="O8" s="403"/>
      <c r="P8" s="404"/>
      <c r="Q8" s="403"/>
      <c r="R8" s="403"/>
      <c r="S8" s="403"/>
      <c r="T8" s="403"/>
      <c r="U8" s="404"/>
      <c r="V8" s="406"/>
      <c r="W8" s="406"/>
      <c r="X8" s="406"/>
    </row>
    <row r="9" spans="1:26" ht="13.5" customHeight="1" thickBot="1" x14ac:dyDescent="0.25">
      <c r="D9" s="401"/>
      <c r="E9" s="401"/>
      <c r="F9" s="401"/>
      <c r="G9" s="401"/>
      <c r="H9" s="401"/>
      <c r="I9" s="401"/>
      <c r="M9" s="403"/>
      <c r="N9" s="403"/>
      <c r="O9" s="403"/>
      <c r="P9" s="405"/>
      <c r="Q9" s="403"/>
      <c r="R9" s="403"/>
      <c r="S9" s="403"/>
      <c r="T9" s="403"/>
      <c r="U9" s="405"/>
      <c r="V9" s="406"/>
      <c r="W9" s="406"/>
      <c r="X9" s="406"/>
    </row>
    <row r="10" spans="1:26" ht="26.1" customHeight="1" x14ac:dyDescent="0.2">
      <c r="A10" s="407"/>
      <c r="C10" s="658" t="s">
        <v>163</v>
      </c>
      <c r="D10" s="408" t="s">
        <v>164</v>
      </c>
      <c r="E10" s="409" t="s">
        <v>165</v>
      </c>
      <c r="H10" s="410"/>
      <c r="I10" s="411"/>
      <c r="J10" s="411"/>
      <c r="L10" s="433"/>
      <c r="M10" s="412"/>
      <c r="N10" s="412"/>
      <c r="O10" s="412"/>
      <c r="P10" s="439"/>
      <c r="Q10" s="412"/>
      <c r="R10" s="412"/>
      <c r="S10" s="412"/>
      <c r="T10" s="412"/>
      <c r="U10" s="439"/>
    </row>
    <row r="11" spans="1:26" ht="26.1" customHeight="1" thickBot="1" x14ac:dyDescent="0.25">
      <c r="A11" s="407"/>
      <c r="C11" s="659"/>
      <c r="D11" s="413" t="s">
        <v>166</v>
      </c>
      <c r="E11" s="414" t="s">
        <v>149</v>
      </c>
      <c r="H11" s="410"/>
      <c r="I11" s="411"/>
      <c r="J11" s="411"/>
      <c r="L11" s="433"/>
      <c r="M11" s="412"/>
      <c r="N11" s="412"/>
      <c r="O11" s="412"/>
      <c r="P11" s="439"/>
      <c r="Q11" s="412"/>
      <c r="R11" s="412"/>
      <c r="S11" s="412"/>
      <c r="T11" s="412"/>
      <c r="U11" s="439"/>
    </row>
    <row r="12" spans="1:26" ht="26.1" customHeight="1" x14ac:dyDescent="0.2">
      <c r="A12" s="504"/>
      <c r="B12" s="411"/>
      <c r="C12" s="415" t="s">
        <v>167</v>
      </c>
      <c r="D12" s="262"/>
      <c r="E12" s="505">
        <f>D12*Übersicht!$H$12/1000</f>
        <v>0</v>
      </c>
      <c r="H12" s="416" t="s">
        <v>6</v>
      </c>
      <c r="I12" s="411"/>
      <c r="J12" s="411"/>
      <c r="L12" s="433"/>
      <c r="M12" s="434"/>
      <c r="N12" s="434"/>
      <c r="O12" s="434"/>
      <c r="P12" s="439"/>
      <c r="Q12" s="434"/>
      <c r="R12" s="434"/>
      <c r="S12" s="434"/>
      <c r="T12" s="434"/>
      <c r="U12" s="439"/>
    </row>
    <row r="13" spans="1:26" ht="26.1" customHeight="1" x14ac:dyDescent="0.2">
      <c r="C13" s="417" t="s">
        <v>168</v>
      </c>
      <c r="D13" s="263"/>
      <c r="E13" s="506">
        <f>D13*Übersicht!$H$12/1000</f>
        <v>0</v>
      </c>
      <c r="H13" s="418"/>
      <c r="I13" s="411"/>
      <c r="J13" s="411"/>
      <c r="L13" s="433"/>
      <c r="M13" s="434"/>
      <c r="N13" s="434"/>
      <c r="O13" s="434"/>
      <c r="P13" s="439"/>
      <c r="Q13" s="434"/>
      <c r="R13" s="434"/>
      <c r="S13" s="434"/>
      <c r="T13" s="434"/>
      <c r="U13" s="439"/>
    </row>
    <row r="14" spans="1:26" ht="26.1" customHeight="1" x14ac:dyDescent="0.2">
      <c r="C14" s="419" t="s">
        <v>169</v>
      </c>
      <c r="D14" s="456"/>
      <c r="E14" s="507"/>
      <c r="H14" s="418"/>
      <c r="I14" s="411"/>
      <c r="J14" s="411"/>
      <c r="L14" s="433"/>
      <c r="M14" s="434"/>
      <c r="N14" s="434"/>
      <c r="O14" s="434"/>
      <c r="P14" s="439"/>
      <c r="Q14" s="434"/>
      <c r="R14" s="434"/>
      <c r="S14" s="434"/>
      <c r="T14" s="434"/>
      <c r="U14" s="439"/>
    </row>
    <row r="15" spans="1:26" ht="26.1" customHeight="1" x14ac:dyDescent="0.2">
      <c r="C15" s="420" t="s">
        <v>170</v>
      </c>
      <c r="D15" s="263"/>
      <c r="E15" s="506">
        <f>D15*0.15*30*Übersicht!C11</f>
        <v>0</v>
      </c>
      <c r="H15" s="461"/>
      <c r="I15" s="411"/>
      <c r="J15" s="411"/>
      <c r="L15" s="441"/>
      <c r="M15" s="412"/>
      <c r="N15" s="412"/>
      <c r="O15" s="412"/>
      <c r="P15" s="439"/>
      <c r="Q15" s="412"/>
      <c r="R15" s="412"/>
      <c r="S15" s="412"/>
      <c r="T15" s="412"/>
      <c r="U15" s="439"/>
    </row>
    <row r="16" spans="1:26" ht="26.1" customHeight="1" thickBot="1" x14ac:dyDescent="0.25">
      <c r="C16" s="421" t="s">
        <v>171</v>
      </c>
      <c r="D16" s="422"/>
      <c r="E16" s="508">
        <f>SUM(E10:E15)</f>
        <v>0</v>
      </c>
      <c r="H16" s="509"/>
      <c r="I16" s="411"/>
      <c r="J16" s="411"/>
      <c r="L16" s="433"/>
      <c r="M16" s="434"/>
      <c r="N16" s="434"/>
      <c r="O16" s="434"/>
      <c r="P16" s="405"/>
      <c r="Q16" s="434"/>
      <c r="R16" s="434"/>
      <c r="S16" s="434"/>
      <c r="T16" s="434"/>
      <c r="U16" s="405"/>
    </row>
    <row r="17" spans="3:21" x14ac:dyDescent="0.2">
      <c r="I17" s="411"/>
      <c r="J17" s="411"/>
      <c r="L17" s="426"/>
      <c r="M17" s="434"/>
      <c r="N17" s="434"/>
      <c r="O17" s="434"/>
      <c r="P17" s="405"/>
      <c r="Q17" s="434"/>
      <c r="R17" s="434"/>
      <c r="S17" s="434"/>
      <c r="T17" s="434"/>
      <c r="U17" s="405"/>
    </row>
    <row r="18" spans="3:21" x14ac:dyDescent="0.2">
      <c r="I18" s="411"/>
      <c r="J18" s="411"/>
      <c r="L18" s="433"/>
      <c r="M18" s="423"/>
      <c r="N18" s="423"/>
      <c r="O18" s="423"/>
      <c r="P18" s="435"/>
      <c r="Q18" s="423"/>
      <c r="R18" s="423"/>
      <c r="S18" s="423"/>
      <c r="T18" s="423"/>
      <c r="U18" s="435"/>
    </row>
    <row r="19" spans="3:21" x14ac:dyDescent="0.2">
      <c r="I19" s="411"/>
      <c r="J19" s="411"/>
      <c r="L19" s="433"/>
      <c r="M19" s="423"/>
      <c r="N19" s="423"/>
      <c r="O19" s="423"/>
      <c r="P19" s="435"/>
      <c r="Q19" s="423"/>
      <c r="R19" s="423"/>
      <c r="S19" s="423"/>
      <c r="T19" s="423"/>
      <c r="U19" s="435"/>
    </row>
    <row r="20" spans="3:21" x14ac:dyDescent="0.2">
      <c r="G20" s="510"/>
      <c r="H20" s="418"/>
      <c r="I20" s="411"/>
      <c r="J20" s="411"/>
      <c r="L20" s="433"/>
      <c r="M20" s="423"/>
      <c r="N20" s="423"/>
      <c r="O20" s="423"/>
      <c r="P20" s="435"/>
      <c r="Q20" s="423"/>
      <c r="R20" s="423"/>
      <c r="S20" s="423"/>
      <c r="T20" s="423"/>
      <c r="U20" s="435"/>
    </row>
    <row r="21" spans="3:21" x14ac:dyDescent="0.2">
      <c r="H21" s="424"/>
      <c r="I21" s="425"/>
      <c r="L21" s="433"/>
      <c r="M21" s="423"/>
      <c r="N21" s="423"/>
      <c r="O21" s="423"/>
      <c r="P21" s="435"/>
      <c r="Q21" s="423"/>
      <c r="R21" s="423"/>
      <c r="S21" s="423"/>
      <c r="T21" s="423"/>
      <c r="U21" s="435"/>
    </row>
    <row r="22" spans="3:21" x14ac:dyDescent="0.2">
      <c r="C22" s="445"/>
      <c r="D22" s="441"/>
      <c r="E22" s="441"/>
      <c r="F22" s="441"/>
      <c r="G22" s="441"/>
      <c r="H22" s="441"/>
      <c r="I22" s="441"/>
      <c r="J22" s="441"/>
      <c r="K22" s="441"/>
      <c r="L22" s="433"/>
      <c r="M22" s="423"/>
      <c r="N22" s="423"/>
      <c r="O22" s="423"/>
      <c r="P22" s="435"/>
      <c r="Q22" s="423"/>
      <c r="R22" s="423"/>
      <c r="S22" s="423"/>
      <c r="T22" s="423"/>
      <c r="U22" s="435"/>
    </row>
    <row r="23" spans="3:21" x14ac:dyDescent="0.2">
      <c r="C23" s="445"/>
      <c r="D23" s="441"/>
      <c r="E23" s="441"/>
      <c r="F23" s="441"/>
      <c r="G23" s="441"/>
      <c r="H23" s="433"/>
      <c r="I23" s="433"/>
      <c r="J23" s="433"/>
      <c r="K23" s="433"/>
      <c r="L23" s="433"/>
      <c r="M23" s="423"/>
      <c r="N23" s="423"/>
      <c r="O23" s="423"/>
      <c r="P23" s="435"/>
      <c r="Q23" s="423"/>
      <c r="R23" s="423"/>
      <c r="S23" s="423"/>
      <c r="T23" s="423"/>
      <c r="U23" s="435"/>
    </row>
    <row r="24" spans="3:21" x14ac:dyDescent="0.2">
      <c r="C24" s="445"/>
      <c r="D24" s="441"/>
      <c r="E24" s="441"/>
      <c r="F24" s="441"/>
      <c r="G24" s="441"/>
      <c r="H24" s="433"/>
      <c r="I24" s="433"/>
      <c r="J24" s="433"/>
      <c r="K24" s="433"/>
      <c r="L24" s="433"/>
      <c r="M24" s="423"/>
      <c r="N24" s="423"/>
      <c r="O24" s="423"/>
      <c r="P24" s="435"/>
      <c r="Q24" s="423"/>
      <c r="R24" s="423"/>
      <c r="S24" s="423"/>
      <c r="T24" s="423"/>
      <c r="U24" s="435"/>
    </row>
    <row r="25" spans="3:21" x14ac:dyDescent="0.2">
      <c r="C25" s="445"/>
      <c r="D25" s="441"/>
      <c r="E25" s="441"/>
      <c r="F25" s="441"/>
      <c r="G25" s="441"/>
      <c r="H25" s="433"/>
      <c r="I25" s="433"/>
      <c r="J25" s="433"/>
      <c r="K25" s="433"/>
      <c r="L25" s="433"/>
      <c r="M25" s="423"/>
      <c r="N25" s="423"/>
      <c r="O25" s="423"/>
      <c r="P25" s="435"/>
      <c r="Q25" s="423"/>
      <c r="R25" s="423"/>
      <c r="S25" s="423"/>
      <c r="T25" s="423"/>
      <c r="U25" s="435"/>
    </row>
    <row r="26" spans="3:21" x14ac:dyDescent="0.2">
      <c r="C26" s="445"/>
      <c r="D26" s="441"/>
      <c r="E26" s="441"/>
      <c r="F26" s="441"/>
      <c r="G26" s="441"/>
      <c r="H26" s="433"/>
      <c r="I26" s="433"/>
      <c r="J26" s="433"/>
      <c r="K26" s="433"/>
      <c r="L26" s="433"/>
      <c r="M26" s="423"/>
      <c r="N26" s="423"/>
      <c r="O26" s="423"/>
      <c r="P26" s="435"/>
      <c r="Q26" s="423"/>
      <c r="R26" s="423"/>
      <c r="S26" s="423"/>
      <c r="T26" s="423"/>
      <c r="U26" s="435"/>
    </row>
    <row r="27" spans="3:21" x14ac:dyDescent="0.2">
      <c r="C27" s="445"/>
      <c r="D27" s="426"/>
      <c r="E27" s="426"/>
      <c r="F27" s="426"/>
      <c r="G27" s="426"/>
      <c r="H27" s="426"/>
      <c r="I27" s="426"/>
      <c r="J27" s="426"/>
      <c r="K27" s="426"/>
      <c r="L27" s="433"/>
      <c r="M27" s="423"/>
      <c r="N27" s="423"/>
      <c r="O27" s="423"/>
      <c r="P27" s="435"/>
      <c r="Q27" s="423"/>
      <c r="R27" s="423"/>
      <c r="S27" s="423"/>
      <c r="T27" s="423"/>
      <c r="U27" s="435"/>
    </row>
    <row r="28" spans="3:21" x14ac:dyDescent="0.2">
      <c r="C28" s="445"/>
      <c r="D28" s="441"/>
      <c r="E28" s="441"/>
      <c r="F28" s="441"/>
      <c r="G28" s="441"/>
      <c r="H28" s="433"/>
      <c r="I28" s="433"/>
      <c r="J28" s="433"/>
      <c r="K28" s="433"/>
      <c r="L28" s="433"/>
      <c r="M28" s="423"/>
      <c r="N28" s="423"/>
      <c r="O28" s="423"/>
      <c r="P28" s="435"/>
      <c r="Q28" s="423"/>
      <c r="R28" s="423"/>
      <c r="S28" s="423"/>
      <c r="T28" s="423"/>
      <c r="U28" s="435"/>
    </row>
    <row r="29" spans="3:21" x14ac:dyDescent="0.2">
      <c r="C29" s="445"/>
      <c r="D29" s="441"/>
      <c r="E29" s="441"/>
      <c r="F29" s="441"/>
      <c r="G29" s="441"/>
      <c r="H29" s="433"/>
      <c r="I29" s="433"/>
      <c r="J29" s="433"/>
      <c r="K29" s="433"/>
      <c r="L29" s="433"/>
      <c r="M29" s="423"/>
      <c r="N29" s="423"/>
      <c r="O29" s="423"/>
      <c r="P29" s="435"/>
      <c r="Q29" s="423"/>
      <c r="R29" s="423"/>
      <c r="S29" s="423"/>
      <c r="T29" s="423"/>
      <c r="U29" s="435"/>
    </row>
    <row r="30" spans="3:21" x14ac:dyDescent="0.2">
      <c r="C30" s="445"/>
      <c r="D30" s="441"/>
      <c r="E30" s="441"/>
      <c r="F30" s="441"/>
      <c r="G30" s="441"/>
      <c r="H30" s="433"/>
      <c r="I30" s="433"/>
      <c r="J30" s="433"/>
      <c r="K30" s="433"/>
      <c r="L30" s="433"/>
      <c r="M30" s="423"/>
      <c r="N30" s="423"/>
      <c r="O30" s="423"/>
      <c r="P30" s="435"/>
      <c r="Q30" s="423"/>
      <c r="R30" s="423"/>
      <c r="S30" s="423"/>
      <c r="T30" s="423"/>
      <c r="U30" s="435"/>
    </row>
    <row r="31" spans="3:21" x14ac:dyDescent="0.2">
      <c r="C31" s="445"/>
      <c r="D31" s="441"/>
      <c r="E31" s="441"/>
      <c r="F31" s="441"/>
      <c r="G31" s="441"/>
      <c r="H31" s="433"/>
      <c r="I31" s="433"/>
      <c r="J31" s="433"/>
      <c r="K31" s="433"/>
      <c r="L31" s="433"/>
      <c r="M31" s="423"/>
      <c r="N31" s="423"/>
      <c r="O31" s="423"/>
      <c r="P31" s="435"/>
      <c r="Q31" s="423"/>
      <c r="R31" s="423"/>
      <c r="S31" s="423"/>
      <c r="T31" s="423"/>
      <c r="U31" s="435"/>
    </row>
    <row r="32" spans="3:21" x14ac:dyDescent="0.2">
      <c r="C32" s="445"/>
      <c r="D32" s="441"/>
      <c r="E32" s="441"/>
      <c r="F32" s="441"/>
      <c r="G32" s="441"/>
      <c r="H32" s="433"/>
      <c r="I32" s="433"/>
      <c r="J32" s="433"/>
      <c r="K32" s="433"/>
      <c r="L32" s="433"/>
      <c r="M32" s="423"/>
      <c r="N32" s="423"/>
      <c r="O32" s="423"/>
      <c r="P32" s="435"/>
      <c r="Q32" s="423"/>
      <c r="R32" s="423"/>
      <c r="S32" s="423"/>
      <c r="T32" s="423"/>
      <c r="U32" s="435"/>
    </row>
    <row r="33" spans="3:21" x14ac:dyDescent="0.2">
      <c r="C33" s="445"/>
      <c r="D33" s="441"/>
      <c r="E33" s="441"/>
      <c r="F33" s="441"/>
      <c r="G33" s="441"/>
      <c r="H33" s="433"/>
      <c r="I33" s="433"/>
      <c r="J33" s="433"/>
      <c r="K33" s="433"/>
      <c r="L33" s="433"/>
      <c r="M33" s="423"/>
      <c r="N33" s="423"/>
      <c r="O33" s="423"/>
      <c r="P33" s="435"/>
      <c r="Q33" s="423"/>
      <c r="R33" s="423"/>
      <c r="S33" s="423"/>
      <c r="T33" s="423"/>
      <c r="U33" s="435"/>
    </row>
    <row r="34" spans="3:21" x14ac:dyDescent="0.2">
      <c r="C34" s="445"/>
      <c r="D34" s="441"/>
      <c r="E34" s="441"/>
      <c r="F34" s="441"/>
      <c r="G34" s="441"/>
      <c r="H34" s="433"/>
      <c r="I34" s="433"/>
      <c r="J34" s="433"/>
      <c r="K34" s="433"/>
      <c r="L34" s="433"/>
      <c r="M34" s="423"/>
      <c r="N34" s="423"/>
      <c r="O34" s="423"/>
      <c r="P34" s="435"/>
      <c r="Q34" s="423"/>
      <c r="R34" s="423"/>
      <c r="S34" s="423"/>
      <c r="T34" s="423"/>
      <c r="U34" s="435"/>
    </row>
    <row r="35" spans="3:21" x14ac:dyDescent="0.2">
      <c r="C35" s="445"/>
      <c r="D35" s="441"/>
      <c r="E35" s="441"/>
      <c r="F35" s="441"/>
      <c r="G35" s="441"/>
      <c r="H35" s="433"/>
      <c r="I35" s="433"/>
      <c r="J35" s="433"/>
      <c r="K35" s="433"/>
      <c r="L35" s="433"/>
      <c r="M35" s="423"/>
      <c r="N35" s="423"/>
      <c r="O35" s="423"/>
      <c r="P35" s="435"/>
      <c r="Q35" s="423"/>
      <c r="R35" s="423"/>
      <c r="S35" s="423"/>
      <c r="T35" s="423"/>
      <c r="U35" s="435"/>
    </row>
    <row r="36" spans="3:21" x14ac:dyDescent="0.2">
      <c r="C36" s="445"/>
      <c r="D36" s="441"/>
      <c r="E36" s="441"/>
      <c r="F36" s="441"/>
      <c r="G36" s="441"/>
      <c r="H36" s="433"/>
      <c r="I36" s="433"/>
      <c r="J36" s="433"/>
      <c r="K36" s="433"/>
      <c r="L36" s="433"/>
      <c r="M36" s="423"/>
      <c r="N36" s="423"/>
      <c r="O36" s="423"/>
      <c r="P36" s="435"/>
      <c r="Q36" s="423"/>
      <c r="R36" s="423"/>
      <c r="S36" s="423"/>
      <c r="T36" s="423"/>
      <c r="U36" s="435"/>
    </row>
    <row r="37" spans="3:21" x14ac:dyDescent="0.2">
      <c r="C37" s="445"/>
      <c r="D37" s="441"/>
      <c r="E37" s="441"/>
      <c r="F37" s="441"/>
      <c r="G37" s="441"/>
      <c r="H37" s="433"/>
      <c r="I37" s="433"/>
      <c r="J37" s="433"/>
      <c r="K37" s="433"/>
      <c r="L37" s="441"/>
      <c r="M37" s="423"/>
      <c r="N37" s="423"/>
      <c r="O37" s="423"/>
      <c r="P37" s="435"/>
      <c r="Q37" s="423"/>
      <c r="R37" s="423"/>
      <c r="S37" s="423"/>
      <c r="T37" s="423"/>
      <c r="U37" s="435"/>
    </row>
    <row r="38" spans="3:21" x14ac:dyDescent="0.2">
      <c r="C38" s="445"/>
      <c r="D38" s="441"/>
      <c r="E38" s="441"/>
      <c r="F38" s="441"/>
      <c r="G38" s="441"/>
      <c r="H38" s="433"/>
      <c r="I38" s="433"/>
      <c r="J38" s="433"/>
      <c r="K38" s="433"/>
      <c r="L38" s="433"/>
      <c r="M38" s="423"/>
      <c r="N38" s="423"/>
      <c r="O38" s="423"/>
      <c r="P38" s="435"/>
      <c r="Q38" s="423"/>
      <c r="R38" s="423"/>
      <c r="S38" s="423"/>
      <c r="T38" s="423"/>
      <c r="U38" s="435"/>
    </row>
    <row r="39" spans="3:21" x14ac:dyDescent="0.2">
      <c r="C39" s="445"/>
      <c r="D39" s="441"/>
      <c r="E39" s="441"/>
      <c r="F39" s="441"/>
      <c r="G39" s="441"/>
      <c r="H39" s="433"/>
      <c r="I39" s="433"/>
      <c r="J39" s="433"/>
      <c r="K39" s="433"/>
      <c r="L39" s="426"/>
      <c r="M39" s="423"/>
      <c r="N39" s="423"/>
      <c r="O39" s="423"/>
      <c r="P39" s="435"/>
      <c r="Q39" s="423"/>
      <c r="R39" s="423"/>
      <c r="S39" s="423"/>
      <c r="T39" s="423"/>
      <c r="U39" s="435"/>
    </row>
    <row r="40" spans="3:21" x14ac:dyDescent="0.2">
      <c r="C40" s="445"/>
      <c r="D40" s="441"/>
      <c r="E40" s="441"/>
      <c r="F40" s="441"/>
      <c r="G40" s="441"/>
      <c r="H40" s="433"/>
      <c r="I40" s="433"/>
      <c r="J40" s="433"/>
      <c r="K40" s="433"/>
      <c r="L40" s="433"/>
      <c r="M40" s="427"/>
      <c r="N40" s="427"/>
      <c r="O40" s="427"/>
      <c r="P40" s="435"/>
      <c r="Q40" s="427"/>
      <c r="R40" s="427"/>
      <c r="S40" s="427"/>
      <c r="T40" s="427"/>
      <c r="U40" s="435"/>
    </row>
    <row r="41" spans="3:21" x14ac:dyDescent="0.2">
      <c r="C41" s="445"/>
      <c r="D41" s="441"/>
      <c r="E41" s="441"/>
      <c r="F41" s="441"/>
      <c r="G41" s="441"/>
      <c r="H41" s="433"/>
      <c r="I41" s="433"/>
      <c r="J41" s="433"/>
      <c r="K41" s="433"/>
      <c r="L41" s="441"/>
      <c r="M41" s="428"/>
      <c r="N41" s="428"/>
      <c r="O41" s="428"/>
      <c r="P41" s="435"/>
      <c r="Q41" s="428"/>
      <c r="R41" s="428"/>
      <c r="S41" s="428"/>
      <c r="T41" s="428"/>
      <c r="U41" s="435"/>
    </row>
    <row r="42" spans="3:21" x14ac:dyDescent="0.2">
      <c r="C42" s="445"/>
      <c r="D42" s="441"/>
      <c r="E42" s="441"/>
      <c r="F42" s="441"/>
      <c r="G42" s="441"/>
      <c r="H42" s="433"/>
      <c r="I42" s="433"/>
      <c r="J42" s="433"/>
      <c r="K42" s="433"/>
      <c r="L42" s="441"/>
      <c r="M42" s="423"/>
      <c r="N42" s="423"/>
      <c r="O42" s="423"/>
      <c r="P42" s="435"/>
      <c r="Q42" s="423"/>
      <c r="R42" s="423"/>
      <c r="S42" s="423"/>
      <c r="T42" s="423"/>
      <c r="U42" s="435"/>
    </row>
    <row r="43" spans="3:21" x14ac:dyDescent="0.2">
      <c r="C43" s="445"/>
      <c r="D43" s="441"/>
      <c r="E43" s="441"/>
      <c r="F43" s="441"/>
      <c r="G43" s="441"/>
      <c r="H43" s="433"/>
      <c r="I43" s="433"/>
      <c r="J43" s="433"/>
      <c r="K43" s="433"/>
      <c r="L43" s="429"/>
      <c r="M43" s="430"/>
      <c r="N43" s="430"/>
      <c r="O43" s="430"/>
      <c r="P43" s="435"/>
      <c r="Q43" s="430"/>
      <c r="R43" s="430"/>
      <c r="S43" s="430"/>
      <c r="T43" s="430"/>
      <c r="U43" s="435"/>
    </row>
    <row r="44" spans="3:21" x14ac:dyDescent="0.2">
      <c r="C44" s="445"/>
      <c r="D44" s="441"/>
      <c r="E44" s="441"/>
      <c r="F44" s="441"/>
      <c r="G44" s="441"/>
      <c r="H44" s="433"/>
      <c r="I44" s="433"/>
      <c r="J44" s="433"/>
      <c r="K44" s="433"/>
      <c r="M44" s="431"/>
      <c r="N44" s="431"/>
      <c r="O44" s="431"/>
      <c r="P44" s="435"/>
      <c r="Q44" s="431"/>
      <c r="R44" s="431"/>
      <c r="S44" s="431"/>
      <c r="T44" s="431"/>
      <c r="U44" s="435"/>
    </row>
    <row r="45" spans="3:21" x14ac:dyDescent="0.2">
      <c r="C45" s="445"/>
      <c r="D45" s="441"/>
      <c r="E45" s="441"/>
      <c r="F45" s="441"/>
      <c r="G45" s="441"/>
      <c r="H45" s="433"/>
      <c r="I45" s="433"/>
      <c r="J45" s="433"/>
      <c r="K45" s="433"/>
      <c r="L45" s="433"/>
      <c r="M45" s="423"/>
      <c r="N45" s="423"/>
      <c r="O45" s="423"/>
      <c r="P45" s="435"/>
      <c r="Q45" s="423"/>
      <c r="R45" s="423"/>
      <c r="S45" s="423"/>
      <c r="T45" s="423"/>
      <c r="U45" s="435"/>
    </row>
    <row r="46" spans="3:21" x14ac:dyDescent="0.2">
      <c r="C46" s="445"/>
      <c r="D46" s="441"/>
      <c r="E46" s="441"/>
      <c r="F46" s="441"/>
      <c r="G46" s="441"/>
      <c r="H46" s="433"/>
      <c r="I46" s="433"/>
      <c r="J46" s="433"/>
      <c r="K46" s="433"/>
      <c r="L46" s="441"/>
      <c r="M46" s="432"/>
      <c r="N46" s="432"/>
      <c r="O46" s="432"/>
      <c r="P46" s="435"/>
      <c r="Q46" s="432"/>
      <c r="R46" s="432"/>
      <c r="S46" s="432"/>
      <c r="T46" s="432"/>
      <c r="U46" s="435"/>
    </row>
    <row r="47" spans="3:21" x14ac:dyDescent="0.2">
      <c r="C47" s="445"/>
      <c r="D47" s="441"/>
      <c r="E47" s="441"/>
      <c r="F47" s="441"/>
      <c r="G47" s="441"/>
      <c r="H47" s="441"/>
      <c r="I47" s="441"/>
      <c r="J47" s="441"/>
      <c r="K47" s="441"/>
      <c r="L47" s="433"/>
      <c r="M47" s="434"/>
      <c r="N47" s="434"/>
      <c r="O47" s="434"/>
      <c r="P47" s="435"/>
      <c r="Q47" s="434"/>
      <c r="R47" s="434"/>
      <c r="S47" s="434"/>
      <c r="T47" s="434"/>
      <c r="U47" s="435"/>
    </row>
    <row r="48" spans="3:21" x14ac:dyDescent="0.2">
      <c r="C48" s="445"/>
      <c r="D48" s="433"/>
      <c r="E48" s="433"/>
      <c r="F48" s="433"/>
      <c r="G48" s="433"/>
      <c r="H48" s="433"/>
      <c r="I48" s="433"/>
      <c r="J48" s="433"/>
      <c r="K48" s="433"/>
      <c r="L48" s="433"/>
      <c r="M48" s="434"/>
      <c r="N48" s="434"/>
      <c r="O48" s="434"/>
      <c r="P48" s="435"/>
      <c r="Q48" s="434"/>
      <c r="R48" s="434"/>
      <c r="S48" s="434"/>
      <c r="T48" s="434"/>
      <c r="U48" s="435"/>
    </row>
    <row r="49" spans="3:21" x14ac:dyDescent="0.2">
      <c r="C49" s="445"/>
      <c r="D49" s="433"/>
      <c r="E49" s="433"/>
      <c r="F49" s="433"/>
      <c r="G49" s="433"/>
      <c r="H49" s="426"/>
      <c r="I49" s="426"/>
      <c r="J49" s="426"/>
      <c r="K49" s="426"/>
      <c r="L49" s="433"/>
      <c r="M49" s="434"/>
      <c r="N49" s="434"/>
      <c r="O49" s="434"/>
      <c r="P49" s="435"/>
      <c r="Q49" s="434"/>
      <c r="R49" s="434"/>
      <c r="S49" s="434"/>
      <c r="T49" s="434"/>
      <c r="U49" s="435"/>
    </row>
    <row r="50" spans="3:21" x14ac:dyDescent="0.2">
      <c r="C50" s="445"/>
      <c r="D50" s="441"/>
      <c r="E50" s="441"/>
      <c r="F50" s="441"/>
      <c r="G50" s="441"/>
      <c r="H50" s="433"/>
      <c r="I50" s="433"/>
      <c r="J50" s="433"/>
      <c r="K50" s="433"/>
      <c r="L50" s="433"/>
      <c r="M50" s="434"/>
      <c r="N50" s="434"/>
      <c r="O50" s="434"/>
      <c r="P50" s="435"/>
      <c r="Q50" s="434"/>
      <c r="R50" s="434"/>
      <c r="S50" s="434"/>
      <c r="T50" s="434"/>
      <c r="U50" s="435"/>
    </row>
    <row r="51" spans="3:21" x14ac:dyDescent="0.2">
      <c r="C51" s="445"/>
      <c r="D51" s="441"/>
      <c r="E51" s="441"/>
      <c r="F51" s="441"/>
      <c r="G51" s="441"/>
      <c r="H51" s="441"/>
      <c r="I51" s="441"/>
      <c r="J51" s="441"/>
      <c r="K51" s="441"/>
      <c r="L51" s="433"/>
      <c r="M51" s="434"/>
      <c r="N51" s="434"/>
      <c r="O51" s="434"/>
      <c r="P51" s="436"/>
      <c r="Q51" s="434"/>
      <c r="R51" s="434"/>
      <c r="S51" s="434"/>
      <c r="T51" s="434"/>
      <c r="U51" s="436"/>
    </row>
    <row r="52" spans="3:21" x14ac:dyDescent="0.2">
      <c r="C52" s="445"/>
      <c r="D52" s="441"/>
      <c r="E52" s="441"/>
      <c r="F52" s="441"/>
      <c r="G52" s="441"/>
      <c r="H52" s="441"/>
      <c r="I52" s="441"/>
      <c r="J52" s="441"/>
      <c r="K52" s="441"/>
      <c r="L52" s="433"/>
      <c r="M52" s="434"/>
      <c r="N52" s="434"/>
      <c r="O52" s="434"/>
      <c r="P52" s="436"/>
      <c r="Q52" s="434"/>
      <c r="R52" s="434"/>
      <c r="S52" s="434"/>
      <c r="T52" s="434"/>
      <c r="U52" s="436"/>
    </row>
    <row r="53" spans="3:21" x14ac:dyDescent="0.2">
      <c r="C53" s="445"/>
      <c r="D53" s="441"/>
      <c r="E53" s="441"/>
      <c r="F53" s="441"/>
      <c r="G53" s="441"/>
      <c r="H53" s="429"/>
      <c r="I53" s="429"/>
      <c r="J53" s="429"/>
      <c r="K53" s="429"/>
      <c r="L53" s="433"/>
      <c r="M53" s="434"/>
      <c r="N53" s="434"/>
      <c r="O53" s="434"/>
      <c r="P53" s="437"/>
      <c r="Q53" s="434"/>
      <c r="R53" s="434"/>
      <c r="S53" s="434"/>
      <c r="T53" s="434"/>
      <c r="U53" s="437"/>
    </row>
    <row r="54" spans="3:21" x14ac:dyDescent="0.2">
      <c r="C54" s="445"/>
      <c r="D54" s="429"/>
      <c r="E54" s="429"/>
      <c r="F54" s="429"/>
      <c r="G54" s="429"/>
      <c r="L54" s="438"/>
      <c r="M54" s="439"/>
      <c r="N54" s="439"/>
      <c r="O54" s="439"/>
      <c r="P54" s="439"/>
      <c r="Q54" s="439"/>
      <c r="R54" s="439"/>
      <c r="S54" s="439"/>
      <c r="T54" s="439"/>
      <c r="U54" s="439"/>
    </row>
    <row r="55" spans="3:21" x14ac:dyDescent="0.2">
      <c r="C55" s="445"/>
      <c r="D55" s="441"/>
      <c r="E55" s="441"/>
      <c r="F55" s="441"/>
      <c r="G55" s="441"/>
      <c r="H55" s="433"/>
      <c r="I55" s="433"/>
      <c r="J55" s="433"/>
      <c r="K55" s="433"/>
      <c r="L55" s="439"/>
      <c r="M55" s="439"/>
      <c r="N55" s="439"/>
      <c r="O55" s="439"/>
      <c r="P55" s="439"/>
      <c r="Q55" s="439"/>
      <c r="R55" s="439"/>
      <c r="S55" s="439"/>
      <c r="T55" s="439"/>
      <c r="U55" s="439"/>
    </row>
    <row r="56" spans="3:21" x14ac:dyDescent="0.2">
      <c r="C56" s="440"/>
      <c r="D56" s="441"/>
      <c r="E56" s="441"/>
      <c r="F56" s="441"/>
      <c r="G56" s="441"/>
      <c r="H56" s="441"/>
      <c r="I56" s="441"/>
      <c r="J56" s="441"/>
      <c r="K56" s="441"/>
      <c r="L56" s="439"/>
      <c r="M56" s="439"/>
      <c r="N56" s="439"/>
      <c r="O56" s="439"/>
      <c r="P56" s="439"/>
      <c r="Q56" s="439"/>
      <c r="R56" s="439"/>
      <c r="S56" s="439"/>
      <c r="T56" s="439"/>
      <c r="U56" s="439"/>
    </row>
    <row r="57" spans="3:21" x14ac:dyDescent="0.2">
      <c r="C57" s="445"/>
      <c r="D57" s="441"/>
      <c r="E57" s="441"/>
      <c r="F57" s="441"/>
      <c r="G57" s="441"/>
      <c r="H57" s="433"/>
      <c r="I57" s="433"/>
      <c r="J57" s="433"/>
      <c r="K57" s="433"/>
      <c r="L57" s="439"/>
      <c r="M57" s="439"/>
      <c r="N57" s="439"/>
      <c r="O57" s="439"/>
      <c r="P57" s="439"/>
      <c r="Q57" s="439"/>
      <c r="R57" s="439"/>
      <c r="S57" s="439"/>
      <c r="T57" s="439"/>
      <c r="U57" s="439"/>
    </row>
    <row r="58" spans="3:21" x14ac:dyDescent="0.2">
      <c r="C58" s="442"/>
      <c r="D58" s="441"/>
      <c r="E58" s="441"/>
      <c r="F58" s="441"/>
      <c r="G58" s="441"/>
      <c r="H58" s="433"/>
      <c r="I58" s="433"/>
      <c r="J58" s="433"/>
      <c r="K58" s="433"/>
      <c r="L58" s="439"/>
      <c r="M58" s="439"/>
      <c r="N58" s="439"/>
      <c r="O58" s="439"/>
      <c r="P58" s="439"/>
      <c r="Q58" s="439"/>
      <c r="R58" s="439"/>
      <c r="S58" s="439"/>
      <c r="T58" s="439"/>
      <c r="U58" s="439"/>
    </row>
    <row r="59" spans="3:21" x14ac:dyDescent="0.2">
      <c r="C59" s="442"/>
      <c r="D59" s="441"/>
      <c r="E59" s="441"/>
      <c r="F59" s="441"/>
      <c r="G59" s="441"/>
      <c r="H59" s="433"/>
      <c r="I59" s="433"/>
      <c r="J59" s="433"/>
      <c r="K59" s="433"/>
      <c r="L59" s="439"/>
      <c r="M59" s="439"/>
      <c r="N59" s="439"/>
      <c r="O59" s="439"/>
      <c r="P59" s="439"/>
      <c r="Q59" s="439"/>
      <c r="R59" s="439"/>
      <c r="S59" s="439"/>
      <c r="T59" s="439"/>
      <c r="U59" s="439"/>
    </row>
    <row r="60" spans="3:21" x14ac:dyDescent="0.2">
      <c r="C60" s="442"/>
      <c r="D60" s="441"/>
      <c r="E60" s="441"/>
      <c r="F60" s="441"/>
      <c r="G60" s="441"/>
      <c r="H60" s="433"/>
      <c r="I60" s="433"/>
      <c r="J60" s="433"/>
      <c r="K60" s="433"/>
      <c r="L60" s="439"/>
      <c r="M60" s="439"/>
      <c r="N60" s="439"/>
      <c r="O60" s="439"/>
      <c r="P60" s="439"/>
      <c r="Q60" s="439"/>
      <c r="R60" s="439"/>
      <c r="S60" s="439"/>
      <c r="T60" s="439"/>
      <c r="U60" s="439"/>
    </row>
    <row r="61" spans="3:21" x14ac:dyDescent="0.2">
      <c r="C61" s="442"/>
      <c r="D61" s="441"/>
      <c r="E61" s="441"/>
      <c r="F61" s="441"/>
      <c r="G61" s="441"/>
      <c r="H61" s="433"/>
      <c r="I61" s="433"/>
      <c r="J61" s="433"/>
      <c r="K61" s="433"/>
      <c r="L61" s="443"/>
      <c r="M61" s="444"/>
      <c r="N61" s="444"/>
      <c r="O61" s="444"/>
      <c r="P61" s="444"/>
      <c r="Q61" s="444"/>
      <c r="R61" s="444"/>
      <c r="S61" s="444"/>
      <c r="T61" s="444"/>
      <c r="U61" s="444"/>
    </row>
    <row r="62" spans="3:21" x14ac:dyDescent="0.2">
      <c r="C62" s="445"/>
      <c r="D62" s="441"/>
      <c r="E62" s="441"/>
      <c r="F62" s="441"/>
      <c r="G62" s="441"/>
      <c r="H62" s="433"/>
      <c r="I62" s="433"/>
      <c r="J62" s="433"/>
      <c r="K62" s="433"/>
      <c r="L62" s="443"/>
      <c r="M62" s="444"/>
      <c r="N62" s="444"/>
      <c r="O62" s="444"/>
      <c r="P62" s="444"/>
      <c r="Q62" s="444"/>
      <c r="R62" s="444"/>
      <c r="S62" s="444"/>
      <c r="T62" s="444"/>
      <c r="U62" s="444"/>
    </row>
    <row r="63" spans="3:21" x14ac:dyDescent="0.2">
      <c r="C63" s="445"/>
      <c r="D63" s="441"/>
      <c r="E63" s="441"/>
      <c r="F63" s="441"/>
      <c r="G63" s="441"/>
      <c r="H63" s="433"/>
      <c r="I63" s="433"/>
      <c r="J63" s="433"/>
      <c r="K63" s="433"/>
      <c r="L63" s="443"/>
      <c r="M63" s="444"/>
      <c r="N63" s="444"/>
      <c r="O63" s="444"/>
      <c r="P63" s="444"/>
      <c r="Q63" s="444"/>
      <c r="R63" s="444"/>
      <c r="S63" s="444"/>
      <c r="T63" s="444"/>
      <c r="U63" s="444"/>
    </row>
    <row r="64" spans="3:21" x14ac:dyDescent="0.2">
      <c r="C64" s="446"/>
      <c r="D64" s="447"/>
      <c r="E64" s="447"/>
      <c r="F64" s="447"/>
      <c r="G64" s="447"/>
      <c r="H64" s="438"/>
      <c r="I64" s="438"/>
      <c r="J64" s="438"/>
      <c r="K64" s="438"/>
    </row>
    <row r="65" spans="3:11" x14ac:dyDescent="0.2">
      <c r="C65" s="448"/>
      <c r="D65" s="439"/>
      <c r="E65" s="439"/>
      <c r="F65" s="439"/>
      <c r="G65" s="439"/>
      <c r="H65" s="439"/>
      <c r="I65" s="439"/>
      <c r="J65" s="439"/>
      <c r="K65" s="439"/>
    </row>
    <row r="66" spans="3:11" x14ac:dyDescent="0.2">
      <c r="C66" s="448"/>
      <c r="D66" s="439"/>
      <c r="E66" s="439"/>
      <c r="F66" s="439"/>
      <c r="G66" s="439"/>
      <c r="H66" s="439"/>
      <c r="I66" s="439"/>
      <c r="J66" s="439"/>
      <c r="K66" s="439"/>
    </row>
    <row r="67" spans="3:11" x14ac:dyDescent="0.2">
      <c r="C67" s="448"/>
      <c r="D67" s="439"/>
      <c r="E67" s="439"/>
      <c r="F67" s="439"/>
      <c r="G67" s="439"/>
      <c r="H67" s="439"/>
      <c r="I67" s="439"/>
      <c r="J67" s="439"/>
      <c r="K67" s="439"/>
    </row>
    <row r="68" spans="3:11" x14ac:dyDescent="0.2">
      <c r="C68" s="448"/>
      <c r="D68" s="439"/>
      <c r="E68" s="439"/>
      <c r="F68" s="439"/>
      <c r="G68" s="439"/>
      <c r="H68" s="439"/>
      <c r="I68" s="439"/>
      <c r="J68" s="439"/>
      <c r="K68" s="439"/>
    </row>
    <row r="69" spans="3:11" x14ac:dyDescent="0.2">
      <c r="C69" s="448"/>
      <c r="D69" s="439"/>
      <c r="E69" s="439"/>
      <c r="F69" s="439"/>
      <c r="G69" s="439"/>
      <c r="H69" s="439"/>
      <c r="I69" s="439"/>
      <c r="J69" s="439"/>
      <c r="K69" s="439"/>
    </row>
    <row r="70" spans="3:11" x14ac:dyDescent="0.2">
      <c r="C70" s="448"/>
      <c r="D70" s="439"/>
      <c r="E70" s="439"/>
      <c r="F70" s="439"/>
      <c r="G70" s="439"/>
      <c r="H70" s="439"/>
      <c r="I70" s="439"/>
      <c r="J70" s="439"/>
      <c r="K70" s="439"/>
    </row>
    <row r="71" spans="3:11" x14ac:dyDescent="0.2">
      <c r="C71" s="449"/>
      <c r="D71" s="450"/>
      <c r="E71" s="450"/>
      <c r="F71" s="450"/>
      <c r="G71" s="450"/>
      <c r="H71" s="443"/>
      <c r="I71" s="443"/>
      <c r="J71" s="443"/>
      <c r="K71" s="443"/>
    </row>
    <row r="72" spans="3:11" x14ac:dyDescent="0.2">
      <c r="C72" s="451"/>
      <c r="D72" s="450"/>
      <c r="E72" s="450"/>
      <c r="F72" s="450"/>
      <c r="G72" s="450"/>
      <c r="H72" s="443"/>
      <c r="I72" s="443"/>
      <c r="J72" s="443"/>
      <c r="K72" s="443"/>
    </row>
    <row r="73" spans="3:11" x14ac:dyDescent="0.2">
      <c r="C73" s="451"/>
      <c r="D73" s="450"/>
      <c r="E73" s="450"/>
      <c r="F73" s="450"/>
      <c r="G73" s="450"/>
      <c r="H73" s="443"/>
      <c r="I73" s="443"/>
      <c r="J73" s="443"/>
      <c r="K73" s="443"/>
    </row>
  </sheetData>
  <sheetProtection algorithmName="SHA-512" hashValue="ph4JJMWtT5/HeFdF+zaGOYUQtc5dJ9UBnsO5CDJVDsg0SqUy7DDu4kw7wugNEo03woocGHIPRBGsCJGZHOfpFw==" saltValue="Q1xsCTYGb16XHQnSXB1s4w==" spinCount="100000" sheet="1" objects="1" scenarios="1"/>
  <mergeCells count="6">
    <mergeCell ref="X6:X7"/>
    <mergeCell ref="C7:G7"/>
    <mergeCell ref="C6:G6"/>
    <mergeCell ref="V6:V7"/>
    <mergeCell ref="C10:C11"/>
    <mergeCell ref="W6:W7"/>
  </mergeCells>
  <printOptions horizontalCentered="1"/>
  <pageMargins left="0.19685039370078741" right="0.27559055118110237" top="0.59055118110236227" bottom="0.35433070866141742" header="0.19685039370078741" footer="0"/>
  <pageSetup paperSize="9" scale="69" orientation="landscape" r:id="rId1"/>
  <headerFooter alignWithMargins="0">
    <oddHeader>&amp;L
Arbeitskreis Bauen, Energie, Technik&amp;C&amp;P&amp;R&amp;G</oddHeader>
    <oddFooter>&amp;R&amp;F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14</vt:i4>
      </vt:variant>
      <vt:variant>
        <vt:lpstr>Benannte Bereiche</vt:lpstr>
      </vt:variant>
      <vt:variant>
        <vt:i4>12</vt:i4>
      </vt:variant>
    </vt:vector>
  </HeadingPairs>
  <TitlesOfParts>
    <vt:vector size="26" baseType="lpstr">
      <vt:lpstr>Übersicht</vt:lpstr>
      <vt:lpstr>Eingabemaske Rindvieh</vt:lpstr>
      <vt:lpstr>Rindvieh nach DüVO</vt:lpstr>
      <vt:lpstr>Rindvieh nach VLK</vt:lpstr>
      <vt:lpstr>Schweine</vt:lpstr>
      <vt:lpstr>Pferde</vt:lpstr>
      <vt:lpstr>Geflügel</vt:lpstr>
      <vt:lpstr>Schafe</vt:lpstr>
      <vt:lpstr>Sonstige Abwässer</vt:lpstr>
      <vt:lpstr>vorh. Güllelager</vt:lpstr>
      <vt:lpstr>geplante Güllelager</vt:lpstr>
      <vt:lpstr>Festmistlager</vt:lpstr>
      <vt:lpstr>Niederschläge</vt:lpstr>
      <vt:lpstr>Gebrauchsanweisung</vt:lpstr>
      <vt:lpstr>'Eingabemaske Rindvieh'!Druckbereich</vt:lpstr>
      <vt:lpstr>Festmistlager!Druckbereich</vt:lpstr>
      <vt:lpstr>Geflügel!Druckbereich</vt:lpstr>
      <vt:lpstr>'geplante Güllelager'!Druckbereich</vt:lpstr>
      <vt:lpstr>Pferde!Druckbereich</vt:lpstr>
      <vt:lpstr>'Rindvieh nach DüVO'!Druckbereich</vt:lpstr>
      <vt:lpstr>'Rindvieh nach VLK'!Druckbereich</vt:lpstr>
      <vt:lpstr>Schafe!Druckbereich</vt:lpstr>
      <vt:lpstr>Schweine!Druckbereich</vt:lpstr>
      <vt:lpstr>'Sonstige Abwässer'!Druckbereich</vt:lpstr>
      <vt:lpstr>Übersicht!Druckbereich</vt:lpstr>
      <vt:lpstr>'vorh. Güllelager'!Druckbereich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Güllelager</dc:title>
  <dc:subject>Gülle</dc:subject>
  <dc:creator>merzj</dc:creator>
  <cp:keywords>Gülle Lagermenge</cp:keywords>
  <dc:description>Version 20149004</dc:description>
  <cp:lastModifiedBy>Mees, Martin (LLH)</cp:lastModifiedBy>
  <cp:lastPrinted>2026-07-01T06:18:15Z</cp:lastPrinted>
  <dcterms:created xsi:type="dcterms:W3CDTF">2004-01-21T15:16:23Z</dcterms:created>
  <dcterms:modified xsi:type="dcterms:W3CDTF">2026-07-09T08:55:51Z</dcterms:modified>
  <cp:contentStatus>Nur für den Dienstgebrauch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0x010100E0155DB8B0978C4AA4D95F767064F452</vt:lpwstr>
  </property>
</Properties>
</file>